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2" windowWidth="11580" windowHeight="1087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<sst xmlns="http://schemas.openxmlformats.org/spreadsheetml/2006/main" count="163" uniqueCount="112">
  <si>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</si>
  <si>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</si>
  <si>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</si>
  <si>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</si>
  <si>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</si>
  <si>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</si>
  <si>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</si>
  <si>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</si>
  <si>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</si>
  <si>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</si>
  <si>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</si>
  <si>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</si>
  <si>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</si>
  <si>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</si>
  <si>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</si>
  <si>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</si>
  <si>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</si>
  <si>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</si>
  <si>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</si>
  <si>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</si>
  <si>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</si>
  <si>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</si>
  <si>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</si>
  <si>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</si>
  <si>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</si>
  <si>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</si>
  <si>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</si>
  <si>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</si>
  <si>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</si>
  <si>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</si>
  <si>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</si>
  <si>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</si>
  <si>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</si>
  <si>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</si>
  <si>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</si>
  <si>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</si>
  <si>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</si>
  <si>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</si>
  <si>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</si>
  <si>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</si>
  <si>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</si>
  <si>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</si>
  <si>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</si>
  <si>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</si>
  <si>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</si>
  <si>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</si>
  <si>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</si>
  <si>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</si>
  <si>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</si>
  <si>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</si>
  <si>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</si>
  <si>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</si>
  <si>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</si>
  <si>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</si>
  <si>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</si>
  <si>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</si>
  <si>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</si>
  <si>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</si>
  <si>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</si>
  <si>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</si>
  <si>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</si>
  <si>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</si>
  <si>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</si>
  <si>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</si>
  <si>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</si>
  <si>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</si>
  <si>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</si>
  <si>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</si>
  <si>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</si>
  <si>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</si>
  <si>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</si>
  <si>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</si>
  <si>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</si>
  <si>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</si>
  <si>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</si>
  <si>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</si>
  <si>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</si>
  <si>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</si>
  <si>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</si>
  <si>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</si>
  <si>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</si>
  <si>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</si>
  <si>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</si>
  <si>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</si>
  <si>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</si>
  <si>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</si>
  <si>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</si>
  <si>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</si>
  <si>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</si>
  <si>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</si>
  <si>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</si>
  <si>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</si>
  <si>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</si>
  <si>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</si>
  <si>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</si>
  <si>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</si>
  <si>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</si>
  <si>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</si>
  <si>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</si>
  <si>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</si>
  <si>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</si>
  <si>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</si>
  <si>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</si>
  <si>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</si>
  <si>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</si>
  <si>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</si>
  <si>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</si>
  <si>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</si>
  <si>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</si>
  <si>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</si>
  <si>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</si>
  <si>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загального фонду міського бюджету станом на 26.09.2017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</si>
</sst>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5125"/>
          <c:w val="0.85825"/>
          <c:h val="0.61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157555.5</c:v>
                </c:pt>
                <c:pt idx="1">
                  <c:v>146923</c:v>
                </c:pt>
                <c:pt idx="2">
                  <c:v>2620.6</c:v>
                </c:pt>
                <c:pt idx="3">
                  <c:v>8011.9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94704.90000000004</c:v>
                </c:pt>
                <c:pt idx="1">
                  <c:v>88571.09999999999</c:v>
                </c:pt>
                <c:pt idx="2">
                  <c:v>1398.1000000000001</c:v>
                </c:pt>
                <c:pt idx="3">
                  <c:v>4735.700000000046</c:v>
                </c:pt>
              </c:numCache>
            </c:numRef>
          </c:val>
          <c:shape val="box"/>
        </c:ser>
        <c:shape val="box"/>
        <c:axId val="34858224"/>
        <c:axId val="45288561"/>
      </c:bar3DChart>
      <c:catAx>
        <c:axId val="3485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88561"/>
        <c:crosses val="autoZero"/>
        <c:auto val="1"/>
        <c:lblOffset val="100"/>
        <c:tickLblSkip val="1"/>
        <c:noMultiLvlLbl val="0"/>
      </c:catAx>
      <c:valAx>
        <c:axId val="45288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8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25"/>
          <c:y val="0.931"/>
          <c:w val="0.2947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675"/>
          <c:w val="0.8435"/>
          <c:h val="0.65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649569.2999999999</c:v>
                </c:pt>
                <c:pt idx="1">
                  <c:v>243536.9</c:v>
                </c:pt>
                <c:pt idx="2">
                  <c:v>507366.4</c:v>
                </c:pt>
                <c:pt idx="3">
                  <c:v>92.5</c:v>
                </c:pt>
                <c:pt idx="4">
                  <c:v>27461.5</c:v>
                </c:pt>
                <c:pt idx="5">
                  <c:v>80766.9</c:v>
                </c:pt>
                <c:pt idx="6">
                  <c:v>14028.6</c:v>
                </c:pt>
                <c:pt idx="7">
                  <c:v>19853.399999999914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419084.19999999995</c:v>
                </c:pt>
                <c:pt idx="1">
                  <c:v>157404.60000000003</c:v>
                </c:pt>
                <c:pt idx="2">
                  <c:v>333302.1999999999</c:v>
                </c:pt>
                <c:pt idx="3">
                  <c:v>31.900000000000002</c:v>
                </c:pt>
                <c:pt idx="4">
                  <c:v>21096.599999999995</c:v>
                </c:pt>
                <c:pt idx="5">
                  <c:v>46829.4</c:v>
                </c:pt>
                <c:pt idx="6">
                  <c:v>9244.799999999997</c:v>
                </c:pt>
                <c:pt idx="7">
                  <c:v>8579.300000000074</c:v>
                </c:pt>
              </c:numCache>
            </c:numRef>
          </c:val>
          <c:shape val="box"/>
        </c:ser>
        <c:shape val="box"/>
        <c:axId val="4943866"/>
        <c:axId val="44494795"/>
      </c:bar3DChart>
      <c:catAx>
        <c:axId val="4943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94795"/>
        <c:crosses val="autoZero"/>
        <c:auto val="1"/>
        <c:lblOffset val="100"/>
        <c:tickLblSkip val="1"/>
        <c:noMultiLvlLbl val="0"/>
      </c:catAx>
      <c:valAx>
        <c:axId val="44494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325"/>
          <c:w val="0.3027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5"/>
          <c:w val="0.9295"/>
          <c:h val="0.65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372954.1</c:v>
                </c:pt>
                <c:pt idx="1">
                  <c:v>239505.5</c:v>
                </c:pt>
                <c:pt idx="2">
                  <c:v>372954.1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259510.50000000003</c:v>
                </c:pt>
                <c:pt idx="1">
                  <c:v>171039.3000000001</c:v>
                </c:pt>
                <c:pt idx="2">
                  <c:v>259510.50000000003</c:v>
                </c:pt>
              </c:numCache>
            </c:numRef>
          </c:val>
          <c:shape val="box"/>
        </c:ser>
        <c:shape val="box"/>
        <c:axId val="64908836"/>
        <c:axId val="47308613"/>
      </c:bar3DChart>
      <c:catAx>
        <c:axId val="6490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08613"/>
        <c:crosses val="autoZero"/>
        <c:auto val="1"/>
        <c:lblOffset val="100"/>
        <c:tickLblSkip val="1"/>
        <c:noMultiLvlLbl val="0"/>
      </c:catAx>
      <c:valAx>
        <c:axId val="47308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08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"/>
          <c:y val="0.924"/>
          <c:w val="0.270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6075"/>
          <c:w val="0.8702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64701.5</c:v>
                </c:pt>
                <c:pt idx="1">
                  <c:v>52853.899999999994</c:v>
                </c:pt>
                <c:pt idx="2">
                  <c:v>3078.9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41964.89999999997</c:v>
                </c:pt>
                <c:pt idx="1">
                  <c:v>34782.7</c:v>
                </c:pt>
                <c:pt idx="2">
                  <c:v>1555.3</c:v>
                </c:pt>
                <c:pt idx="3">
                  <c:v>473.00000000000006</c:v>
                </c:pt>
                <c:pt idx="4">
                  <c:v>25.5</c:v>
                </c:pt>
                <c:pt idx="5">
                  <c:v>5128.399999999975</c:v>
                </c:pt>
              </c:numCache>
            </c:numRef>
          </c:val>
          <c:shape val="box"/>
        </c:ser>
        <c:shape val="box"/>
        <c:axId val="23124334"/>
        <c:axId val="6792415"/>
      </c:bar3DChart>
      <c:catAx>
        <c:axId val="2312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92415"/>
        <c:crosses val="autoZero"/>
        <c:auto val="1"/>
        <c:lblOffset val="100"/>
        <c:tickLblSkip val="1"/>
        <c:noMultiLvlLbl val="0"/>
      </c:catAx>
      <c:valAx>
        <c:axId val="6792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24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85"/>
          <c:w val="0.86375"/>
          <c:h val="0.63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15324.000000000002</c:v>
                </c:pt>
                <c:pt idx="1">
                  <c:v>9784.400000000001</c:v>
                </c:pt>
                <c:pt idx="3">
                  <c:v>419.5999999999999</c:v>
                </c:pt>
                <c:pt idx="4">
                  <c:v>543.6000000000001</c:v>
                </c:pt>
                <c:pt idx="5">
                  <c:v>358</c:v>
                </c:pt>
                <c:pt idx="6">
                  <c:v>4218.4</c:v>
                </c:pt>
              </c:numCache>
            </c:numRef>
          </c:val>
          <c:shape val="box"/>
        </c:ser>
        <c:shape val="box"/>
        <c:axId val="61131736"/>
        <c:axId val="13314713"/>
      </c:bar3DChart>
      <c:catAx>
        <c:axId val="61131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14713"/>
        <c:crosses val="autoZero"/>
        <c:auto val="1"/>
        <c:lblOffset val="100"/>
        <c:tickLblSkip val="2"/>
        <c:noMultiLvlLbl val="0"/>
      </c:catAx>
      <c:valAx>
        <c:axId val="13314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1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5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4316.1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307.0999999999999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2855.8</c:v>
                </c:pt>
                <c:pt idx="1">
                  <c:v>1802.0000000000002</c:v>
                </c:pt>
                <c:pt idx="2">
                  <c:v>337</c:v>
                </c:pt>
                <c:pt idx="3">
                  <c:v>213.59999999999997</c:v>
                </c:pt>
                <c:pt idx="4">
                  <c:v>89.8</c:v>
                </c:pt>
                <c:pt idx="5">
                  <c:v>413.4000000000001</c:v>
                </c:pt>
              </c:numCache>
            </c:numRef>
          </c:val>
          <c:shape val="box"/>
        </c:ser>
        <c:shape val="box"/>
        <c:axId val="52723554"/>
        <c:axId val="4749939"/>
      </c:bar3DChart>
      <c:catAx>
        <c:axId val="5272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9939"/>
        <c:crosses val="autoZero"/>
        <c:auto val="1"/>
        <c:lblOffset val="100"/>
        <c:tickLblSkip val="1"/>
        <c:noMultiLvlLbl val="0"/>
      </c:catAx>
      <c:valAx>
        <c:axId val="4749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23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75"/>
          <c:y val="0.9245"/>
          <c:w val="0.2947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4825"/>
          <c:w val="0.8575"/>
          <c:h val="0.6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42583.4</c:v>
                </c:pt>
              </c:numCache>
            </c:numRef>
          </c:val>
          <c:shape val="box"/>
        </c:ser>
        <c:shape val="box"/>
        <c:axId val="42749452"/>
        <c:axId val="49200749"/>
      </c:bar3DChart>
      <c:catAx>
        <c:axId val="42749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200749"/>
        <c:crosses val="autoZero"/>
        <c:auto val="1"/>
        <c:lblOffset val="100"/>
        <c:tickLblSkip val="1"/>
        <c:noMultiLvlLbl val="0"/>
      </c:catAx>
      <c:valAx>
        <c:axId val="49200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9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75"/>
          <c:y val="0.92525"/>
          <c:w val="0.29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25"/>
          <c:w val="0.85125"/>
          <c:h val="0.58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649569.2999999999</c:v>
                </c:pt>
                <c:pt idx="1">
                  <c:v>372954.1</c:v>
                </c:pt>
                <c:pt idx="2">
                  <c:v>64701.5</c:v>
                </c:pt>
                <c:pt idx="3">
                  <c:v>23911.899999999998</c:v>
                </c:pt>
                <c:pt idx="4">
                  <c:v>4316.1</c:v>
                </c:pt>
                <c:pt idx="5">
                  <c:v>157555.5</c:v>
                </c:pt>
                <c:pt idx="6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419084.19999999995</c:v>
                </c:pt>
                <c:pt idx="1">
                  <c:v>259510.50000000003</c:v>
                </c:pt>
                <c:pt idx="2">
                  <c:v>41964.89999999997</c:v>
                </c:pt>
                <c:pt idx="3">
                  <c:v>15324.000000000002</c:v>
                </c:pt>
                <c:pt idx="4">
                  <c:v>2855.8</c:v>
                </c:pt>
                <c:pt idx="5">
                  <c:v>94704.90000000004</c:v>
                </c:pt>
                <c:pt idx="6">
                  <c:v>42583.4</c:v>
                </c:pt>
              </c:numCache>
            </c:numRef>
          </c:val>
          <c:shape val="box"/>
        </c:ser>
        <c:shape val="box"/>
        <c:axId val="40153558"/>
        <c:axId val="25837703"/>
      </c:bar3DChart>
      <c:catAx>
        <c:axId val="4015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37703"/>
        <c:crosses val="autoZero"/>
        <c:auto val="1"/>
        <c:lblOffset val="100"/>
        <c:tickLblSkip val="1"/>
        <c:noMultiLvlLbl val="0"/>
      </c:catAx>
      <c:valAx>
        <c:axId val="25837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53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25"/>
          <c:y val="0.89475"/>
          <c:w val="0.2902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1"/>
          <c:w val="0.8415"/>
          <c:h val="0.6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737272.2999999999</c:v>
                </c:pt>
                <c:pt idx="1">
                  <c:v>102533.8</c:v>
                </c:pt>
                <c:pt idx="2">
                  <c:v>28689.7</c:v>
                </c:pt>
                <c:pt idx="3">
                  <c:v>26130.600000000002</c:v>
                </c:pt>
                <c:pt idx="4">
                  <c:v>106.9</c:v>
                </c:pt>
                <c:pt idx="5">
                  <c:v>980637.1999999997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476746.29999999993</c:v>
                </c:pt>
                <c:pt idx="1">
                  <c:v>58622.8</c:v>
                </c:pt>
                <c:pt idx="2">
                  <c:v>21890.499999999993</c:v>
                </c:pt>
                <c:pt idx="3">
                  <c:v>15412.599999999995</c:v>
                </c:pt>
                <c:pt idx="4">
                  <c:v>32.7</c:v>
                </c:pt>
                <c:pt idx="5">
                  <c:v>663092.7000000004</c:v>
                </c:pt>
              </c:numCache>
            </c:numRef>
          </c:val>
          <c:shape val="box"/>
        </c:ser>
        <c:shape val="box"/>
        <c:axId val="31212736"/>
        <c:axId val="12479169"/>
      </c:bar3DChart>
      <c:catAx>
        <c:axId val="3121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79169"/>
        <c:crosses val="autoZero"/>
        <c:auto val="1"/>
        <c:lblOffset val="100"/>
        <c:tickLblSkip val="1"/>
        <c:noMultiLvlLbl val="0"/>
      </c:catAx>
      <c:valAx>
        <c:axId val="12479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12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4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9" sqref="D149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" thickBot="1">
      <c r="A6" s="22" t="s">
        <v>27</v>
      </c>
      <c r="B6" s="45">
        <v>480753.7</v>
      </c>
      <c r="C6" s="46">
        <f>625865.1-190.4-316.9+47.1+50+198+5366.4+2952+4818.2+150+808.5-0.1-255.7+10077.1</f>
        <v>649569.2999999999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</f>
        <v>419084.19999999995</v>
      </c>
      <c r="E6" s="3">
        <f>D6/D151*100</f>
        <v>33.91204190718609</v>
      </c>
      <c r="F6" s="3">
        <f>D6/B6*100</f>
        <v>87.17232961493588</v>
      </c>
      <c r="G6" s="3">
        <f aca="true" t="shared" si="0" ref="G6:G43">D6/C6*100</f>
        <v>64.51724242509613</v>
      </c>
      <c r="H6" s="47">
        <f>B6-D6</f>
        <v>61669.50000000006</v>
      </c>
      <c r="I6" s="47">
        <f aca="true" t="shared" si="1" ref="I6:I43">C6-D6</f>
        <v>230485.09999999998</v>
      </c>
    </row>
    <row r="7" spans="1:9" s="37" customFormat="1" ht="18">
      <c r="A7" s="104" t="s">
        <v>82</v>
      </c>
      <c r="B7" s="97">
        <v>186334.5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6699.4+11261.7+10.2+8073.8+9792.3+0.1+0.8+7352+6.6+10108.4-0.1+7942.1+9848.6-0.1+7861.7+17351.9+0.1+8976.7+21107.4+3648.1+8478-0.1+422+40.1+569.1+2781.8+7228.1+78.7+0.1+7673+92.1</f>
        <v>157404.60000000003</v>
      </c>
      <c r="E7" s="95">
        <f>D7/D6*100</f>
        <v>37.559182617717404</v>
      </c>
      <c r="F7" s="95">
        <f>D7/B7*100</f>
        <v>84.47421169992676</v>
      </c>
      <c r="G7" s="95">
        <f>D7/C7*100</f>
        <v>64.63275175137733</v>
      </c>
      <c r="H7" s="105">
        <f>B7-D7</f>
        <v>28929.899999999965</v>
      </c>
      <c r="I7" s="105">
        <f t="shared" si="1"/>
        <v>86132.29999999996</v>
      </c>
    </row>
    <row r="8" spans="1:9" ht="17.25">
      <c r="A8" s="23" t="s">
        <v>3</v>
      </c>
      <c r="B8" s="42">
        <v>379180.4</v>
      </c>
      <c r="C8" s="43">
        <f>487771.7+47.1+4992.2+4503.5+174-122.1+10000</f>
        <v>507366.4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</f>
        <v>333302.1999999999</v>
      </c>
      <c r="E8" s="1">
        <f>D8/D6*100</f>
        <v>79.53108229802028</v>
      </c>
      <c r="F8" s="1">
        <f>D8/B8*100</f>
        <v>87.90069317928877</v>
      </c>
      <c r="G8" s="1">
        <f t="shared" si="0"/>
        <v>65.69260400373376</v>
      </c>
      <c r="H8" s="44">
        <f>B8-D8</f>
        <v>45878.20000000013</v>
      </c>
      <c r="I8" s="44">
        <f t="shared" si="1"/>
        <v>174064.20000000013</v>
      </c>
    </row>
    <row r="9" spans="1:9" ht="17.25">
      <c r="A9" s="23" t="s">
        <v>2</v>
      </c>
      <c r="B9" s="42">
        <v>81.4</v>
      </c>
      <c r="C9" s="43">
        <v>92.5</v>
      </c>
      <c r="D9" s="44">
        <f>2.5+4.3+3.3+7+0.4+1.3+1.6+1.3+1.5-0.1+0.8+5.1+2.1+0.8</f>
        <v>31.900000000000002</v>
      </c>
      <c r="E9" s="12">
        <f>D9/D6*100</f>
        <v>0.007611835521358239</v>
      </c>
      <c r="F9" s="119">
        <f>D9/B9*100</f>
        <v>39.189189189189186</v>
      </c>
      <c r="G9" s="1">
        <f t="shared" si="0"/>
        <v>34.48648648648649</v>
      </c>
      <c r="H9" s="44">
        <f aca="true" t="shared" si="2" ref="H9:H43">B9-D9</f>
        <v>49.5</v>
      </c>
      <c r="I9" s="44">
        <f t="shared" si="1"/>
        <v>60.599999999999994</v>
      </c>
    </row>
    <row r="10" spans="1:9" ht="17.25">
      <c r="A10" s="23" t="s">
        <v>1</v>
      </c>
      <c r="B10" s="42">
        <v>22050.9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</f>
        <v>21096.599999999995</v>
      </c>
      <c r="E10" s="1">
        <f>D10/D6*100</f>
        <v>5.033976465827153</v>
      </c>
      <c r="F10" s="1">
        <f aca="true" t="shared" si="3" ref="F10:F41">D10/B10*100</f>
        <v>95.67228548494616</v>
      </c>
      <c r="G10" s="1">
        <f t="shared" si="0"/>
        <v>76.822460535659</v>
      </c>
      <c r="H10" s="44">
        <f t="shared" si="2"/>
        <v>954.3000000000065</v>
      </c>
      <c r="I10" s="44">
        <f t="shared" si="1"/>
        <v>6364.900000000005</v>
      </c>
    </row>
    <row r="11" spans="1:9" ht="17.25">
      <c r="A11" s="23" t="s">
        <v>0</v>
      </c>
      <c r="B11" s="42">
        <v>54414.1</v>
      </c>
      <c r="C11" s="43">
        <f>80900.5-133.6</f>
        <v>80766.9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</f>
        <v>46829.4</v>
      </c>
      <c r="E11" s="1">
        <f>D11/D6*100</f>
        <v>11.17422226846061</v>
      </c>
      <c r="F11" s="1">
        <f t="shared" si="3"/>
        <v>86.06114959174185</v>
      </c>
      <c r="G11" s="1">
        <f t="shared" si="0"/>
        <v>57.980930306846</v>
      </c>
      <c r="H11" s="44">
        <f t="shared" si="2"/>
        <v>7584.699999999997</v>
      </c>
      <c r="I11" s="44">
        <f t="shared" si="1"/>
        <v>33937.49999999999</v>
      </c>
    </row>
    <row r="12" spans="1:9" ht="17.25">
      <c r="A12" s="23" t="s">
        <v>14</v>
      </c>
      <c r="B12" s="42">
        <v>10107.7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</f>
        <v>9244.799999999997</v>
      </c>
      <c r="E12" s="1">
        <f>D12/D6*100</f>
        <v>2.2059528848856624</v>
      </c>
      <c r="F12" s="1">
        <f t="shared" si="3"/>
        <v>91.46294409212776</v>
      </c>
      <c r="G12" s="1">
        <f t="shared" si="0"/>
        <v>65.8996621188144</v>
      </c>
      <c r="H12" s="44">
        <f t="shared" si="2"/>
        <v>862.9000000000033</v>
      </c>
      <c r="I12" s="44">
        <f t="shared" si="1"/>
        <v>4783.800000000003</v>
      </c>
    </row>
    <row r="13" spans="1:9" ht="18" thickBot="1">
      <c r="A13" s="23" t="s">
        <v>28</v>
      </c>
      <c r="B13" s="43">
        <f>B6-B8-B9-B10-B11-B12</f>
        <v>14919.2</v>
      </c>
      <c r="C13" s="43">
        <f>C6-C8-C9-C10-C11-C12</f>
        <v>19853.399999999914</v>
      </c>
      <c r="D13" s="43">
        <f>D6-D8-D9-D10-D11-D12</f>
        <v>8579.300000000074</v>
      </c>
      <c r="E13" s="1">
        <f>D13/D6*100</f>
        <v>2.047154247284931</v>
      </c>
      <c r="F13" s="1">
        <f t="shared" si="3"/>
        <v>57.50509410692312</v>
      </c>
      <c r="G13" s="1">
        <f t="shared" si="0"/>
        <v>43.21325314555749</v>
      </c>
      <c r="H13" s="44">
        <f t="shared" si="2"/>
        <v>6339.899999999927</v>
      </c>
      <c r="I13" s="44">
        <f t="shared" si="1"/>
        <v>11274.09999999984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8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8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" thickBot="1">
      <c r="A18" s="22" t="s">
        <v>19</v>
      </c>
      <c r="B18" s="45">
        <f>292724.9-2430.9</f>
        <v>290294</v>
      </c>
      <c r="C18" s="46">
        <f>329127.1+600+14307.6+200+1333.8+15842.2+1513.4+30+10000</f>
        <v>372954.1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</f>
        <v>259510.50000000003</v>
      </c>
      <c r="E18" s="3">
        <f>D18/D151*100</f>
        <v>20.99943388787937</v>
      </c>
      <c r="F18" s="3">
        <f>D18/B18*100</f>
        <v>89.39575051499516</v>
      </c>
      <c r="G18" s="3">
        <f t="shared" si="0"/>
        <v>69.5824231453683</v>
      </c>
      <c r="H18" s="47">
        <f>B18-D18</f>
        <v>30783.49999999997</v>
      </c>
      <c r="I18" s="47">
        <f t="shared" si="1"/>
        <v>113443.59999999995</v>
      </c>
    </row>
    <row r="19" spans="1:13" s="37" customFormat="1" ht="18">
      <c r="A19" s="104" t="s">
        <v>83</v>
      </c>
      <c r="B19" s="97">
        <v>179936.4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</f>
        <v>171039.3000000001</v>
      </c>
      <c r="E19" s="95">
        <f>D19/D18*100</f>
        <v>65.90843145075058</v>
      </c>
      <c r="F19" s="95">
        <f t="shared" si="3"/>
        <v>95.05541958158555</v>
      </c>
      <c r="G19" s="95">
        <f t="shared" si="0"/>
        <v>71.4135165998276</v>
      </c>
      <c r="H19" s="105">
        <f t="shared" si="2"/>
        <v>8897.09999999989</v>
      </c>
      <c r="I19" s="105">
        <f t="shared" si="1"/>
        <v>68466.1999999999</v>
      </c>
      <c r="K19" s="132"/>
      <c r="L19" s="11"/>
      <c r="M19" s="11"/>
    </row>
    <row r="20" spans="1:11" ht="17.25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7.25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7.25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7.25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7.25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" thickBot="1">
      <c r="A25" s="23" t="s">
        <v>28</v>
      </c>
      <c r="B25" s="43">
        <f>B18</f>
        <v>290294</v>
      </c>
      <c r="C25" s="43">
        <f>C18</f>
        <v>372954.1</v>
      </c>
      <c r="D25" s="43">
        <f>D18</f>
        <v>259510.50000000003</v>
      </c>
      <c r="E25" s="1">
        <f>D25/D18*100</f>
        <v>100</v>
      </c>
      <c r="F25" s="1">
        <f t="shared" si="3"/>
        <v>89.39575051499516</v>
      </c>
      <c r="G25" s="1">
        <f t="shared" si="0"/>
        <v>69.5824231453683</v>
      </c>
      <c r="H25" s="44">
        <f t="shared" si="2"/>
        <v>30783.49999999997</v>
      </c>
      <c r="I25" s="44">
        <f t="shared" si="1"/>
        <v>113443.59999999995</v>
      </c>
      <c r="K25" s="132"/>
    </row>
    <row r="26" spans="1:11" ht="54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8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8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" thickBot="1">
      <c r="A33" s="22" t="s">
        <v>17</v>
      </c>
      <c r="B33" s="45">
        <v>47966</v>
      </c>
      <c r="C33" s="46">
        <f>67303.3-3099.2+301.7+44-104+255.7</f>
        <v>64701.5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</f>
        <v>41964.89999999997</v>
      </c>
      <c r="E33" s="3">
        <f>D33/D151*100</f>
        <v>3.3957745184162813</v>
      </c>
      <c r="F33" s="3">
        <f>D33/B33*100</f>
        <v>87.4888462661051</v>
      </c>
      <c r="G33" s="3">
        <f t="shared" si="0"/>
        <v>64.85923819385945</v>
      </c>
      <c r="H33" s="47">
        <f t="shared" si="2"/>
        <v>6001.100000000028</v>
      </c>
      <c r="I33" s="47">
        <f t="shared" si="1"/>
        <v>22736.600000000028</v>
      </c>
      <c r="K33" s="132"/>
    </row>
    <row r="34" spans="1:11" ht="17.25">
      <c r="A34" s="23" t="s">
        <v>3</v>
      </c>
      <c r="B34" s="42">
        <v>39774.7</v>
      </c>
      <c r="C34" s="43">
        <f>55535.9-3105.8+301.7+122.1</f>
        <v>52853.899999999994</v>
      </c>
      <c r="D34" s="44">
        <f>1743.2+1833.7+1830.2+1935.3+81+1854.2+129.9+1804.7+34.4+1.5+1881.6+1967.7+0.1+1784.4+235.6+2357.6-0.1+6335.8+2919.9+53.7+142.8+686.6+728.3+0.1+8.8+87.6+495.7+1689.4+9.2+4.2+70.1+2075.5</f>
        <v>34782.7</v>
      </c>
      <c r="E34" s="1">
        <f>D34/D33*100</f>
        <v>82.88522074400278</v>
      </c>
      <c r="F34" s="1">
        <f t="shared" si="3"/>
        <v>87.44930822859757</v>
      </c>
      <c r="G34" s="1">
        <f t="shared" si="0"/>
        <v>65.80914558812123</v>
      </c>
      <c r="H34" s="44">
        <f t="shared" si="2"/>
        <v>4992</v>
      </c>
      <c r="I34" s="44">
        <f t="shared" si="1"/>
        <v>18071.199999999997</v>
      </c>
      <c r="K34" s="132"/>
    </row>
    <row r="35" spans="1:11" ht="17.25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7.25">
      <c r="A36" s="23" t="s">
        <v>0</v>
      </c>
      <c r="B36" s="42">
        <v>1840.3</v>
      </c>
      <c r="C36" s="43">
        <f>2945.3+133.6</f>
        <v>3078.9</v>
      </c>
      <c r="D36" s="44">
        <f>5.4+1.2+41.8+16.1+2.9+29.7+160.9+0.8+93.4+46.9+11.2+0.1+15.2+184.7+9.2+183.2+0.9+11.9+0.1+174+0.1+59.2+12.8+2+8.2+325.6+7.6-0.1+53.7+13.4+10.7+7.4+0.6+1.6+1.5+8.1+1.8+9.7+0.1+1+17.2-0.3+3.2+3.8+10.2+6.6</f>
        <v>1555.3</v>
      </c>
      <c r="E36" s="1">
        <f>D36/D33*100</f>
        <v>3.706192556160031</v>
      </c>
      <c r="F36" s="1">
        <f t="shared" si="3"/>
        <v>84.51339455523555</v>
      </c>
      <c r="G36" s="1">
        <f t="shared" si="0"/>
        <v>50.51479424469778</v>
      </c>
      <c r="H36" s="44">
        <f t="shared" si="2"/>
        <v>285</v>
      </c>
      <c r="I36" s="44">
        <f t="shared" si="1"/>
        <v>1523.6000000000001</v>
      </c>
      <c r="K36" s="132"/>
    </row>
    <row r="37" spans="1:11" s="37" customFormat="1" ht="17.25">
      <c r="A37" s="18" t="s">
        <v>7</v>
      </c>
      <c r="B37" s="51">
        <v>505.7</v>
      </c>
      <c r="C37" s="52">
        <f>856.1-104</f>
        <v>752.1</v>
      </c>
      <c r="D37" s="53">
        <f>7.4+12.3+6.1+3.3+9.3+3.2+58.1+36.7+24.4+18.9-18.9+0.1+12+83.3+21.3+10.7+4.7+55.2+2.2+22.4+77.9+16.1+3.3+3</f>
        <v>473.00000000000006</v>
      </c>
      <c r="E37" s="17">
        <f>D37/D33*100</f>
        <v>1.127132436869861</v>
      </c>
      <c r="F37" s="17">
        <f t="shared" si="3"/>
        <v>93.53371564168481</v>
      </c>
      <c r="G37" s="17">
        <f t="shared" si="0"/>
        <v>62.89057306209281</v>
      </c>
      <c r="H37" s="53">
        <f t="shared" si="2"/>
        <v>32.69999999999993</v>
      </c>
      <c r="I37" s="53">
        <f t="shared" si="1"/>
        <v>279.09999999999997</v>
      </c>
      <c r="K37" s="133"/>
    </row>
    <row r="38" spans="1:11" ht="17.25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0.06076506794964367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2"/>
    </row>
    <row r="39" spans="1:11" ht="18" thickBot="1">
      <c r="A39" s="23" t="s">
        <v>28</v>
      </c>
      <c r="B39" s="42">
        <f>B33-B34-B36-B37-B35-B38</f>
        <v>5819.800000000003</v>
      </c>
      <c r="C39" s="42">
        <f>C33-C34-C36-C37-C35-C38</f>
        <v>7935.800000000006</v>
      </c>
      <c r="D39" s="42">
        <f>D33-D34-D36-D37-D35-D38</f>
        <v>5128.399999999975</v>
      </c>
      <c r="E39" s="1">
        <f>D39/D33*100</f>
        <v>12.22068919501769</v>
      </c>
      <c r="F39" s="1">
        <f t="shared" si="3"/>
        <v>88.11986666208414</v>
      </c>
      <c r="G39" s="1">
        <f t="shared" si="0"/>
        <v>64.62360442551439</v>
      </c>
      <c r="H39" s="44">
        <f>B39-D39</f>
        <v>691.4000000000278</v>
      </c>
      <c r="I39" s="44">
        <f t="shared" si="1"/>
        <v>2807.4000000000306</v>
      </c>
      <c r="K39" s="132"/>
    </row>
    <row r="40" spans="1:11" ht="18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8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8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8" thickBot="1">
      <c r="A43" s="13" t="s">
        <v>16</v>
      </c>
      <c r="B43" s="98">
        <v>2000.8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29.1+22+50.2+8.1+0.6+111.5+89.2+3+14.7+7.1+8.4+11.5+17.6+100.3+27.2+6.2-0.1+30.1+12.7+5+6.1+5+7.2+55.8+7.4+109.8-0.1+35+11.8+22.6+27.4+6.5+3.2+63.8+35.8+6.6+2.7+4+0.2+6.5+6.9+61+27.1-0.1+3.2+4.7+2.4+51.9+11+53.3-0.1+65.1+0.4+11+9.8</f>
        <v>1279.3000000000002</v>
      </c>
      <c r="E43" s="3">
        <f>D43/D151*100</f>
        <v>0.10352018809552631</v>
      </c>
      <c r="F43" s="3">
        <f>D43/B43*100</f>
        <v>63.939424230307885</v>
      </c>
      <c r="G43" s="3">
        <f t="shared" si="0"/>
        <v>57.18819848010729</v>
      </c>
      <c r="H43" s="47">
        <f t="shared" si="2"/>
        <v>721.4999999999998</v>
      </c>
      <c r="I43" s="47">
        <f t="shared" si="1"/>
        <v>957.7000000000003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" thickBot="1">
      <c r="A45" s="22" t="s">
        <v>45</v>
      </c>
      <c r="B45" s="45">
        <v>8835.5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</f>
        <v>7904.6</v>
      </c>
      <c r="E45" s="3">
        <f>D45/D151*100</f>
        <v>0.6396354872351264</v>
      </c>
      <c r="F45" s="3">
        <f>D45/B45*100</f>
        <v>89.46409371286289</v>
      </c>
      <c r="G45" s="3">
        <f aca="true" t="shared" si="4" ref="G45:G76">D45/C45*100</f>
        <v>67.05632846963013</v>
      </c>
      <c r="H45" s="47">
        <f>B45-D45</f>
        <v>930.8999999999996</v>
      </c>
      <c r="I45" s="47">
        <f aca="true" t="shared" si="5" ref="I45:I77">C45-D45</f>
        <v>3883.3999999999996</v>
      </c>
      <c r="K45" s="132"/>
    </row>
    <row r="46" spans="1:11" ht="17.25">
      <c r="A46" s="23" t="s">
        <v>3</v>
      </c>
      <c r="B46" s="42">
        <v>7975.6</v>
      </c>
      <c r="C46" s="43">
        <v>10529.7</v>
      </c>
      <c r="D46" s="44">
        <f>102.7+154.9+447.3+314.1+572.1+284.8+559+325.4+510.8+301.6+29.6+556.7+0.1+311.9+684.4+334.8+585.4+305.3+503.4-0.1+18+293.3</f>
        <v>7195.499999999999</v>
      </c>
      <c r="E46" s="1">
        <f>D46/D45*100</f>
        <v>91.02927409356576</v>
      </c>
      <c r="F46" s="1">
        <f aca="true" t="shared" si="6" ref="F46:F74">D46/B46*100</f>
        <v>90.21891769898188</v>
      </c>
      <c r="G46" s="1">
        <f t="shared" si="4"/>
        <v>68.3352802074133</v>
      </c>
      <c r="H46" s="44">
        <f aca="true" t="shared" si="7" ref="H46:H74">B46-D46</f>
        <v>780.1000000000013</v>
      </c>
      <c r="I46" s="44">
        <f t="shared" si="5"/>
        <v>3334.2000000000016</v>
      </c>
      <c r="K46" s="132"/>
    </row>
    <row r="47" spans="1:11" ht="17.25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0.01012068921893581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7.25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0.4718771348328822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  <c r="K48" s="132"/>
    </row>
    <row r="49" spans="1:11" ht="17.25">
      <c r="A49" s="23" t="s">
        <v>0</v>
      </c>
      <c r="B49" s="42">
        <v>570.2</v>
      </c>
      <c r="C49" s="43">
        <v>865.1</v>
      </c>
      <c r="D49" s="44">
        <f>3.1+3.5+1+0.7+59.3+95.2+2.2+6-0.1+53.5+89.7+6.2+7.2+73.9+0.4+4+3.2+30.6+0.2+2.7+3.1+5.4+3.6+1.3+5+0.5+0.4</f>
        <v>461.79999999999995</v>
      </c>
      <c r="E49" s="1">
        <f>D49/D45*100</f>
        <v>5.842167851630696</v>
      </c>
      <c r="F49" s="1">
        <f t="shared" si="6"/>
        <v>80.98912662223779</v>
      </c>
      <c r="G49" s="1">
        <f t="shared" si="4"/>
        <v>53.381112010172224</v>
      </c>
      <c r="H49" s="44">
        <f t="shared" si="7"/>
        <v>108.40000000000009</v>
      </c>
      <c r="I49" s="44">
        <f t="shared" si="5"/>
        <v>403.30000000000007</v>
      </c>
      <c r="K49" s="132"/>
    </row>
    <row r="50" spans="1:11" ht="18" thickBot="1">
      <c r="A50" s="23" t="s">
        <v>28</v>
      </c>
      <c r="B50" s="43">
        <f>B45-B46-B49-B48-B47</f>
        <v>240.1999999999996</v>
      </c>
      <c r="C50" s="43">
        <f>C45-C46-C49-C48-C47</f>
        <v>317.49999999999926</v>
      </c>
      <c r="D50" s="43">
        <f>D45-D46-D49-D48-D47</f>
        <v>209.2000000000013</v>
      </c>
      <c r="E50" s="1">
        <f>D50/D45*100</f>
        <v>2.6465602307517306</v>
      </c>
      <c r="F50" s="1">
        <f t="shared" si="6"/>
        <v>87.0940882597842</v>
      </c>
      <c r="G50" s="1">
        <f t="shared" si="4"/>
        <v>65.88976377952812</v>
      </c>
      <c r="H50" s="44">
        <f t="shared" si="7"/>
        <v>30.999999999998295</v>
      </c>
      <c r="I50" s="44">
        <f t="shared" si="5"/>
        <v>108.29999999999797</v>
      </c>
      <c r="K50" s="132"/>
    </row>
    <row r="51" spans="1:11" ht="18" thickBot="1">
      <c r="A51" s="22" t="s">
        <v>4</v>
      </c>
      <c r="B51" s="45">
        <v>17530.2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</f>
        <v>15324.000000000002</v>
      </c>
      <c r="E51" s="3">
        <f>D51/D151*100</f>
        <v>1.240008881713316</v>
      </c>
      <c r="F51" s="3">
        <f>D51/B51*100</f>
        <v>87.41486121093884</v>
      </c>
      <c r="G51" s="3">
        <f t="shared" si="4"/>
        <v>64.08524625813926</v>
      </c>
      <c r="H51" s="47">
        <f>B51-D51</f>
        <v>2206.199999999999</v>
      </c>
      <c r="I51" s="47">
        <f t="shared" si="5"/>
        <v>8587.899999999996</v>
      </c>
      <c r="K51" s="132"/>
    </row>
    <row r="52" spans="1:11" ht="17.25">
      <c r="A52" s="23" t="s">
        <v>3</v>
      </c>
      <c r="B52" s="42">
        <v>10949.3</v>
      </c>
      <c r="C52" s="43">
        <f>16189.8-940.4</f>
        <v>15249.4</v>
      </c>
      <c r="D52" s="44">
        <f>392.4+738.8+389.6+752.9+403.1+730.4+397.8+724.9+1.1+0.1+403+795.7+527.1+1240.6+386.5+33.7+705.7+0.1+5.8+226.6+536.1+14.2+2.1+376.1</f>
        <v>9784.400000000001</v>
      </c>
      <c r="E52" s="1">
        <f>D52/D51*100</f>
        <v>63.85016966849387</v>
      </c>
      <c r="F52" s="1">
        <f t="shared" si="6"/>
        <v>89.36096371457538</v>
      </c>
      <c r="G52" s="1">
        <f t="shared" si="4"/>
        <v>64.16252442719059</v>
      </c>
      <c r="H52" s="44">
        <f t="shared" si="7"/>
        <v>1164.8999999999978</v>
      </c>
      <c r="I52" s="44">
        <f t="shared" si="5"/>
        <v>5464.999999999998</v>
      </c>
      <c r="K52" s="132"/>
    </row>
    <row r="53" spans="1:11" ht="17.25">
      <c r="A53" s="23" t="s">
        <v>2</v>
      </c>
      <c r="B53" s="42">
        <v>3.2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3.2</v>
      </c>
      <c r="I53" s="44">
        <f t="shared" si="5"/>
        <v>13</v>
      </c>
      <c r="K53" s="132"/>
    </row>
    <row r="54" spans="1:11" ht="17.25">
      <c r="A54" s="23" t="s">
        <v>1</v>
      </c>
      <c r="B54" s="42">
        <v>598.3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1.9+1.9+0.5+7.4+2.1+1.2+12.9+5.1+0.1+4.5+16.8+19.2+9.7+3.1+1.1+1.4+2.5+5.7+19.9+0.8+28.2+4+19.8+8.2+38.7+4.3+0.2+18.2+4.3+27.9+3.9+3+21+4+9.4+2.4+4.7+1.2+8.1+6.9+10.9+0.1+38.9+5.3+2.8+0.1+3+2.2+20.1</f>
        <v>419.5999999999999</v>
      </c>
      <c r="E54" s="1">
        <f>D54/D51*100</f>
        <v>2.7381884625424164</v>
      </c>
      <c r="F54" s="1">
        <f t="shared" si="6"/>
        <v>70.13204078221627</v>
      </c>
      <c r="G54" s="1">
        <f t="shared" si="4"/>
        <v>51.789681560108605</v>
      </c>
      <c r="H54" s="44">
        <f t="shared" si="7"/>
        <v>178.70000000000005</v>
      </c>
      <c r="I54" s="44">
        <f t="shared" si="5"/>
        <v>390.60000000000014</v>
      </c>
      <c r="K54" s="132"/>
    </row>
    <row r="55" spans="1:11" ht="17.25">
      <c r="A55" s="23" t="s">
        <v>0</v>
      </c>
      <c r="B55" s="42">
        <v>610.8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0.5+0.6+7.5+73.9+2.1+51.2+20.8+16.3+5.9+0.4+16.8+14.9+10.4+71.4+0.3+1.2+1.4+16+1.2+0.1+25+43+3.8+1.3+4.1+73.9-0.2+14.3+2.8+3+2.4+0.3+0.4+1.3+1.5+2+0.6+0.5+3+1.3+1.4+2+1.4+0.2+0.3+0.2+0.6+0.1-0.1+0.5+38.9+0.3+0.6</f>
        <v>543.6000000000001</v>
      </c>
      <c r="E55" s="1">
        <f>D55/D51*100</f>
        <v>3.5473766640563826</v>
      </c>
      <c r="F55" s="1">
        <f t="shared" si="6"/>
        <v>88.99803536345779</v>
      </c>
      <c r="G55" s="1">
        <f t="shared" si="4"/>
        <v>51.15272419309308</v>
      </c>
      <c r="H55" s="44">
        <f t="shared" si="7"/>
        <v>67.19999999999982</v>
      </c>
      <c r="I55" s="44">
        <f t="shared" si="5"/>
        <v>519.0999999999999</v>
      </c>
      <c r="K55" s="132"/>
    </row>
    <row r="56" spans="1:11" ht="17.25">
      <c r="A56" s="23" t="s">
        <v>14</v>
      </c>
      <c r="B56" s="42">
        <v>373</v>
      </c>
      <c r="C56" s="43">
        <v>518.9</v>
      </c>
      <c r="D56" s="43">
        <f>34+46+40+40+40+40+40+40+38</f>
        <v>358</v>
      </c>
      <c r="E56" s="1">
        <f>D56/D51*100</f>
        <v>2.336204646306447</v>
      </c>
      <c r="F56" s="1">
        <f>D56/B56*100</f>
        <v>95.97855227882037</v>
      </c>
      <c r="G56" s="1">
        <f>D56/C56*100</f>
        <v>68.99209867026403</v>
      </c>
      <c r="H56" s="44">
        <f t="shared" si="7"/>
        <v>15</v>
      </c>
      <c r="I56" s="44">
        <f t="shared" si="5"/>
        <v>160.89999999999998</v>
      </c>
      <c r="K56" s="132"/>
    </row>
    <row r="57" spans="1:11" ht="18" thickBot="1">
      <c r="A57" s="23" t="s">
        <v>28</v>
      </c>
      <c r="B57" s="43">
        <f>B51-B52-B55-B54-B53-B56</f>
        <v>4995.600000000001</v>
      </c>
      <c r="C57" s="43">
        <f>C51-C52-C55-C54-C53-C56</f>
        <v>6257.699999999999</v>
      </c>
      <c r="D57" s="43">
        <f>D51-D52-D55-D54-D53-D56</f>
        <v>4218.4</v>
      </c>
      <c r="E57" s="1">
        <f>D57/D51*100</f>
        <v>27.52806055860088</v>
      </c>
      <c r="F57" s="1">
        <f t="shared" si="6"/>
        <v>84.44230923212423</v>
      </c>
      <c r="G57" s="1">
        <f t="shared" si="4"/>
        <v>67.41134921776371</v>
      </c>
      <c r="H57" s="44">
        <f>B57-D57</f>
        <v>777.2000000000016</v>
      </c>
      <c r="I57" s="44">
        <f>C57-D57</f>
        <v>2039.2999999999993</v>
      </c>
      <c r="K57" s="132"/>
    </row>
    <row r="58" spans="1:11" s="37" customFormat="1" ht="18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" thickBot="1">
      <c r="A59" s="22" t="s">
        <v>6</v>
      </c>
      <c r="B59" s="45">
        <v>3245.1</v>
      </c>
      <c r="C59" s="46">
        <f>7844.6+200-378.5+50-3400</f>
        <v>4316.1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</f>
        <v>2855.8</v>
      </c>
      <c r="E59" s="3">
        <f>D59/D151*100</f>
        <v>0.23108962179567263</v>
      </c>
      <c r="F59" s="3">
        <f>D59/B59*100</f>
        <v>88.00345135743122</v>
      </c>
      <c r="G59" s="3">
        <f t="shared" si="4"/>
        <v>66.1662148699057</v>
      </c>
      <c r="H59" s="47">
        <f>B59-D59</f>
        <v>389.2999999999997</v>
      </c>
      <c r="I59" s="47">
        <f t="shared" si="5"/>
        <v>1460.3000000000002</v>
      </c>
      <c r="K59" s="132"/>
    </row>
    <row r="60" spans="1:11" ht="17.25">
      <c r="A60" s="23" t="s">
        <v>3</v>
      </c>
      <c r="B60" s="42">
        <v>1932.4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55.6+146.1+60.8+59.3+73.6+0.1+67.3+144.6-4.5+79.7+66.8+72.2-0.1+53+75.7+69.4+0.1+39.1+101.5+64.4+45.9+60.8+119.4+37.7+47.7+65.9+60.6-0.1+31.3+40.6+67.5</f>
        <v>1802.0000000000002</v>
      </c>
      <c r="E60" s="1">
        <f>D60/D59*100</f>
        <v>63.0996568387142</v>
      </c>
      <c r="F60" s="1">
        <f t="shared" si="6"/>
        <v>93.25191471744981</v>
      </c>
      <c r="G60" s="1">
        <f t="shared" si="4"/>
        <v>70.3713828250088</v>
      </c>
      <c r="H60" s="44">
        <f t="shared" si="7"/>
        <v>130.39999999999986</v>
      </c>
      <c r="I60" s="44">
        <f t="shared" si="5"/>
        <v>758.7</v>
      </c>
      <c r="K60" s="132"/>
    </row>
    <row r="61" spans="1:11" ht="17.25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11.800546256740667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7.25">
      <c r="A62" s="23" t="s">
        <v>0</v>
      </c>
      <c r="B62" s="42">
        <v>228.5</v>
      </c>
      <c r="C62" s="43">
        <f>451.8-38.9</f>
        <v>412.90000000000003</v>
      </c>
      <c r="D62" s="44">
        <f>0.4+18.6+55.1+0.5+32.9+0.7+67.5+3.7+0.4+6.3+12.6+0.1+4.2+0.1+1.9+0.5+3.8+1+0.1+0.1+2.5-0.1+0.6+0.1</f>
        <v>213.59999999999997</v>
      </c>
      <c r="E62" s="1">
        <f>D62/D59*100</f>
        <v>7.479515372224944</v>
      </c>
      <c r="F62" s="1">
        <f t="shared" si="6"/>
        <v>93.4792122538293</v>
      </c>
      <c r="G62" s="1">
        <f t="shared" si="4"/>
        <v>51.73165415354806</v>
      </c>
      <c r="H62" s="44">
        <f t="shared" si="7"/>
        <v>14.900000000000034</v>
      </c>
      <c r="I62" s="44">
        <f t="shared" si="5"/>
        <v>199.30000000000007</v>
      </c>
      <c r="K62" s="132"/>
    </row>
    <row r="63" spans="1:11" ht="17.25">
      <c r="A63" s="23" t="s">
        <v>14</v>
      </c>
      <c r="B63" s="42">
        <v>307.1</v>
      </c>
      <c r="C63" s="43">
        <f>3707.1-3400</f>
        <v>307.0999999999999</v>
      </c>
      <c r="D63" s="44">
        <v>89.8</v>
      </c>
      <c r="E63" s="1">
        <f>D63/D59*100</f>
        <v>3.1444779046151687</v>
      </c>
      <c r="F63" s="1">
        <f t="shared" si="6"/>
        <v>29.241289482253336</v>
      </c>
      <c r="G63" s="1">
        <f t="shared" si="4"/>
        <v>29.241289482253347</v>
      </c>
      <c r="H63" s="44">
        <f t="shared" si="7"/>
        <v>217.3</v>
      </c>
      <c r="I63" s="44">
        <f t="shared" si="5"/>
        <v>217.2999999999999</v>
      </c>
      <c r="K63" s="132"/>
    </row>
    <row r="64" spans="1:11" ht="18" thickBot="1">
      <c r="A64" s="23" t="s">
        <v>28</v>
      </c>
      <c r="B64" s="43">
        <f>B59-B60-B62-B63-B61</f>
        <v>433.3999999999998</v>
      </c>
      <c r="C64" s="43">
        <f>C59-C60-C62-C63-C61</f>
        <v>691.7</v>
      </c>
      <c r="D64" s="43">
        <f>D59-D60-D62-D63-D61</f>
        <v>413.4000000000001</v>
      </c>
      <c r="E64" s="1">
        <f>D64/D59*100</f>
        <v>14.475803627705023</v>
      </c>
      <c r="F64" s="1">
        <f t="shared" si="6"/>
        <v>95.38532533456397</v>
      </c>
      <c r="G64" s="1">
        <f t="shared" si="4"/>
        <v>59.76579441954606</v>
      </c>
      <c r="H64" s="44">
        <f t="shared" si="7"/>
        <v>19.999999999999716</v>
      </c>
      <c r="I64" s="44">
        <f t="shared" si="5"/>
        <v>278.29999999999995</v>
      </c>
      <c r="K64" s="132"/>
    </row>
    <row r="65" spans="1:11" s="37" customFormat="1" ht="18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8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8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8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" thickBot="1">
      <c r="A69" s="22" t="s">
        <v>20</v>
      </c>
      <c r="B69" s="46">
        <f>B70+B71</f>
        <v>363.3</v>
      </c>
      <c r="C69" s="46">
        <f>C70+C71</f>
        <v>397.5</v>
      </c>
      <c r="D69" s="47">
        <f>SUM(D70:D71)</f>
        <v>242.39999999999998</v>
      </c>
      <c r="E69" s="35">
        <f>D69/D151*100</f>
        <v>0.019614862498519167</v>
      </c>
      <c r="F69" s="3">
        <f>D69/B69*100</f>
        <v>66.72171758876961</v>
      </c>
      <c r="G69" s="3">
        <f t="shared" si="4"/>
        <v>60.98113207547169</v>
      </c>
      <c r="H69" s="47">
        <f>B69-D69</f>
        <v>120.90000000000003</v>
      </c>
      <c r="I69" s="47">
        <f t="shared" si="5"/>
        <v>155.10000000000002</v>
      </c>
      <c r="K69" s="132"/>
    </row>
    <row r="70" spans="1:11" ht="17.25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" thickBot="1">
      <c r="A71" s="23" t="s">
        <v>9</v>
      </c>
      <c r="B71" s="42">
        <v>76.3</v>
      </c>
      <c r="C71" s="43">
        <f>267.3-68.6-27.9+0.7-15-6.9-19.6-19.5</f>
        <v>110.5</v>
      </c>
      <c r="D71" s="44">
        <f>6.5</f>
        <v>6.5</v>
      </c>
      <c r="E71" s="1">
        <f>D71/D70*100</f>
        <v>2.7554048325561684</v>
      </c>
      <c r="F71" s="1">
        <f t="shared" si="6"/>
        <v>8.51900393184797</v>
      </c>
      <c r="G71" s="1">
        <f t="shared" si="4"/>
        <v>5.88235294117647</v>
      </c>
      <c r="H71" s="44">
        <f t="shared" si="7"/>
        <v>69.8</v>
      </c>
      <c r="I71" s="44">
        <f t="shared" si="5"/>
        <v>104</v>
      </c>
      <c r="K71" s="132"/>
    </row>
    <row r="72" spans="1:11" ht="35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7.2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7.2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7.2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8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8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8" thickBot="1">
      <c r="A90" s="13" t="s">
        <v>10</v>
      </c>
      <c r="B90" s="54">
        <v>119900.2</v>
      </c>
      <c r="C90" s="46">
        <f>157960+265+0.3+29.6-699.4</f>
        <v>157555.5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+85.7+49.1+21.6+2.4+34.9</f>
        <v>94704.90000000004</v>
      </c>
      <c r="E90" s="3">
        <f>D90/D151*100</f>
        <v>7.663463661039641</v>
      </c>
      <c r="F90" s="3">
        <f aca="true" t="shared" si="10" ref="F90:F96">D90/B90*100</f>
        <v>78.98644038959071</v>
      </c>
      <c r="G90" s="3">
        <f t="shared" si="8"/>
        <v>60.10891400173275</v>
      </c>
      <c r="H90" s="47">
        <f aca="true" t="shared" si="11" ref="H90:H96">B90-D90</f>
        <v>25195.29999999996</v>
      </c>
      <c r="I90" s="47">
        <f t="shared" si="9"/>
        <v>62850.59999999996</v>
      </c>
      <c r="K90" s="132"/>
    </row>
    <row r="91" spans="1:11" ht="17.25">
      <c r="A91" s="23" t="s">
        <v>3</v>
      </c>
      <c r="B91" s="42">
        <v>111446.4</v>
      </c>
      <c r="C91" s="43">
        <f>148246.2-137.7-228.3-64.5-80-812.7</f>
        <v>146923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</f>
        <v>88571.09999999999</v>
      </c>
      <c r="E91" s="1">
        <f>D91/D90*100</f>
        <v>93.52324958898637</v>
      </c>
      <c r="F91" s="1">
        <f t="shared" si="10"/>
        <v>79.47416874838487</v>
      </c>
      <c r="G91" s="1">
        <f t="shared" si="8"/>
        <v>60.28402632671535</v>
      </c>
      <c r="H91" s="44">
        <f t="shared" si="11"/>
        <v>22875.300000000003</v>
      </c>
      <c r="I91" s="44">
        <f t="shared" si="9"/>
        <v>58351.90000000001</v>
      </c>
      <c r="K91" s="132"/>
    </row>
    <row r="92" spans="1:11" ht="17.25">
      <c r="A92" s="23" t="s">
        <v>26</v>
      </c>
      <c r="B92" s="42">
        <v>1624.7</v>
      </c>
      <c r="C92" s="43">
        <v>2620.6</v>
      </c>
      <c r="D92" s="44">
        <f>48.5+5.1+5+1.3+22.8+67.3+62.7+3.5+1.4+40.6+112.7+571.4+55.5+1.7+2.4+3.1+83.6+0.9+1.4+3.5+0.9+23.5+44.4+1+13.6+0.7+42.8+22.3+44+0.7+4.6+0.7+0.7+13.7+56.1+1.6+31.5+0.9</f>
        <v>1398.1000000000001</v>
      </c>
      <c r="E92" s="1">
        <f>D92/D90*100</f>
        <v>1.4762699712475273</v>
      </c>
      <c r="F92" s="1">
        <f t="shared" si="10"/>
        <v>86.05280974949223</v>
      </c>
      <c r="G92" s="1">
        <f t="shared" si="8"/>
        <v>53.35037777608183</v>
      </c>
      <c r="H92" s="44">
        <f t="shared" si="11"/>
        <v>226.5999999999999</v>
      </c>
      <c r="I92" s="44">
        <f t="shared" si="9"/>
        <v>1222.4999999999998</v>
      </c>
      <c r="K92" s="132"/>
    </row>
    <row r="93" spans="1:11" ht="17.25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" thickBot="1">
      <c r="A94" s="23" t="s">
        <v>28</v>
      </c>
      <c r="B94" s="43">
        <f>B90-B91-B92-B93</f>
        <v>6829.100000000003</v>
      </c>
      <c r="C94" s="43">
        <f>C90-C91-C92-C93</f>
        <v>8011.9</v>
      </c>
      <c r="D94" s="43">
        <f>D90-D91-D92-D93</f>
        <v>4735.700000000046</v>
      </c>
      <c r="E94" s="1">
        <f>D94/D90*100</f>
        <v>5.000480439766099</v>
      </c>
      <c r="F94" s="1">
        <f t="shared" si="10"/>
        <v>69.34588745222715</v>
      </c>
      <c r="G94" s="1">
        <f>D94/C94*100</f>
        <v>59.10832636453334</v>
      </c>
      <c r="H94" s="44">
        <f t="shared" si="11"/>
        <v>2093.399999999957</v>
      </c>
      <c r="I94" s="44">
        <f>C94-D94</f>
        <v>3276.1999999999534</v>
      </c>
      <c r="K94" s="132"/>
    </row>
    <row r="95" spans="1:11" ht="17.25">
      <c r="A95" s="108" t="s">
        <v>12</v>
      </c>
      <c r="B95" s="128">
        <f>45810.4-419.1</f>
        <v>45391.3</v>
      </c>
      <c r="C95" s="112">
        <f>59880.5+5316.8+172.8+165-3329.3+408.2-3637.6-4530.7</f>
        <v>54445.700000000004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</f>
        <v>42583.4</v>
      </c>
      <c r="E95" s="107">
        <f>D95/D151*100</f>
        <v>3.445823167159411</v>
      </c>
      <c r="F95" s="110">
        <f t="shared" si="10"/>
        <v>93.81401281743418</v>
      </c>
      <c r="G95" s="106">
        <f>D95/C95*100</f>
        <v>78.21260448483535</v>
      </c>
      <c r="H95" s="111">
        <f t="shared" si="11"/>
        <v>2807.9000000000015</v>
      </c>
      <c r="I95" s="121">
        <f>C95-D95</f>
        <v>11862.300000000003</v>
      </c>
      <c r="K95" s="132"/>
    </row>
    <row r="96" spans="1:11" ht="18" thickBot="1">
      <c r="A96" s="109" t="s">
        <v>84</v>
      </c>
      <c r="B96" s="113">
        <v>7371.9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</f>
        <v>6737.500000000001</v>
      </c>
      <c r="E96" s="116">
        <f>D96/D95*100</f>
        <v>15.821893038132231</v>
      </c>
      <c r="F96" s="117">
        <f t="shared" si="10"/>
        <v>91.39434881102567</v>
      </c>
      <c r="G96" s="118">
        <f>D96/C96*100</f>
        <v>62.67849999534856</v>
      </c>
      <c r="H96" s="122">
        <f t="shared" si="11"/>
        <v>634.3999999999987</v>
      </c>
      <c r="I96" s="123">
        <f>C96-D96</f>
        <v>4011.7999999999965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8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8" thickBot="1">
      <c r="A102" s="13" t="s">
        <v>11</v>
      </c>
      <c r="B102" s="127">
        <v>9409.5</v>
      </c>
      <c r="C102" s="92">
        <f>12999.2-348+46.7-53.7+124.7-124.6+10.7+5.1+0.1+19.5-3.3</f>
        <v>12676.400000000003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</f>
        <v>6886.899999999995</v>
      </c>
      <c r="E102" s="19">
        <f>D102/D151*100</f>
        <v>0.557283814113249</v>
      </c>
      <c r="F102" s="19">
        <f>D102/B102*100</f>
        <v>73.19092406610336</v>
      </c>
      <c r="G102" s="19">
        <f aca="true" t="shared" si="12" ref="G102:G149">D102/C102*100</f>
        <v>54.32851598245554</v>
      </c>
      <c r="H102" s="79">
        <f aca="true" t="shared" si="13" ref="H102:H107">B102-D102</f>
        <v>2522.600000000005</v>
      </c>
      <c r="I102" s="79">
        <f aca="true" t="shared" si="14" ref="I102:I149">C102-D102</f>
        <v>5789.500000000008</v>
      </c>
      <c r="K102" s="133"/>
    </row>
    <row r="103" spans="1:11" ht="17.25">
      <c r="A103" s="23" t="s">
        <v>3</v>
      </c>
      <c r="B103" s="89">
        <v>203.1</v>
      </c>
      <c r="C103" s="87">
        <v>259.1</v>
      </c>
      <c r="D103" s="87">
        <f>17.3+10+11+0.1+10.9+18.9+0.1+11+25.2+18.3+2.4+10.6+13.7+13.9</f>
        <v>163.39999999999998</v>
      </c>
      <c r="E103" s="83">
        <f>D103/D102*100</f>
        <v>2.3726204823650714</v>
      </c>
      <c r="F103" s="1">
        <f>D103/B103*100</f>
        <v>80.45297882816345</v>
      </c>
      <c r="G103" s="83">
        <f>D103/C103*100</f>
        <v>63.06445387881126</v>
      </c>
      <c r="H103" s="87">
        <f t="shared" si="13"/>
        <v>39.70000000000002</v>
      </c>
      <c r="I103" s="87">
        <f t="shared" si="14"/>
        <v>95.70000000000005</v>
      </c>
      <c r="K103" s="132"/>
    </row>
    <row r="104" spans="1:11" ht="17.25">
      <c r="A104" s="85" t="s">
        <v>49</v>
      </c>
      <c r="B104" s="74">
        <v>7610.2</v>
      </c>
      <c r="C104" s="44">
        <f>10720.8-348+46.7-56.3+125.1-124.6-51.5+5.1+21.6-3.3</f>
        <v>10335.600000000002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</f>
        <v>5551.199999999999</v>
      </c>
      <c r="E104" s="1">
        <f>D104/D102*100</f>
        <v>80.6052069871786</v>
      </c>
      <c r="F104" s="1">
        <f aca="true" t="shared" si="15" ref="F104:F149">D104/B104*100</f>
        <v>72.94420645975137</v>
      </c>
      <c r="G104" s="1">
        <f t="shared" si="12"/>
        <v>53.70950888192265</v>
      </c>
      <c r="H104" s="44">
        <f t="shared" si="13"/>
        <v>2059.000000000001</v>
      </c>
      <c r="I104" s="44">
        <f t="shared" si="14"/>
        <v>4784.400000000003</v>
      </c>
      <c r="K104" s="132"/>
    </row>
    <row r="105" spans="1:11" ht="52.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" thickBot="1">
      <c r="A106" s="86" t="s">
        <v>28</v>
      </c>
      <c r="B106" s="88">
        <f>B102-B103-B104</f>
        <v>1596.1999999999998</v>
      </c>
      <c r="C106" s="88">
        <f>C102-C103-C104</f>
        <v>2081.7000000000007</v>
      </c>
      <c r="D106" s="88">
        <f>D102-D103-D104</f>
        <v>1172.2999999999965</v>
      </c>
      <c r="E106" s="84">
        <f>D106/D102*100</f>
        <v>17.022172530456338</v>
      </c>
      <c r="F106" s="84">
        <f t="shared" si="15"/>
        <v>73.44317754667314</v>
      </c>
      <c r="G106" s="84">
        <f t="shared" si="12"/>
        <v>56.314550607676225</v>
      </c>
      <c r="H106" s="123">
        <f>B106-D106</f>
        <v>423.9000000000033</v>
      </c>
      <c r="I106" s="123">
        <f t="shared" si="14"/>
        <v>909.4000000000042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356530.4000000001</v>
      </c>
      <c r="C107" s="81">
        <f>SUM(C108:C148)-C115-C119+C149-C140-C141-C109-C112-C122-C123-C138-C131-C129-C136</f>
        <v>519904.6</v>
      </c>
      <c r="D107" s="81">
        <f>SUM(D108:D148)-D115-D119+D149-D140-D141-D109-D112-D122-D123-D138-D131-D129-D136</f>
        <v>343456.7</v>
      </c>
      <c r="E107" s="82">
        <f>D107/D151*100</f>
        <v>27.792310002867776</v>
      </c>
      <c r="F107" s="82">
        <f>D107/B107*100</f>
        <v>96.33307566479603</v>
      </c>
      <c r="G107" s="82">
        <f t="shared" si="12"/>
        <v>66.06148512630972</v>
      </c>
      <c r="H107" s="81">
        <f t="shared" si="13"/>
        <v>13073.70000000007</v>
      </c>
      <c r="I107" s="81">
        <f t="shared" si="14"/>
        <v>176447.89999999997</v>
      </c>
    </row>
    <row r="108" spans="1:9" ht="34.5">
      <c r="A108" s="28" t="s">
        <v>53</v>
      </c>
      <c r="B108" s="71">
        <v>2843.3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12.6+3.2+110.8+149.9+0.1+86+66+19.9+30.9+1.3+4.4+3.9+8.5+1.6+0.1+167.2+12.2+0.7+2+1.4+0.1+115.6+14.7+10.7+8.1+0.6+3.1+4.1+2.8-0.2+122.3+40.3+0.6+1.6+1.5+0.1+131+0.3+1.6+2.9+14.2+140+2+0.9+3.7+15.5+3.2+1.5+3.5+0.3+5+1.2-0.5+123.5+3.6+38.8+0.7</f>
        <v>1501.6000000000004</v>
      </c>
      <c r="E108" s="6">
        <f>D108/D107*100</f>
        <v>0.437202127662672</v>
      </c>
      <c r="F108" s="6">
        <f t="shared" si="15"/>
        <v>52.811873527239484</v>
      </c>
      <c r="G108" s="6">
        <f t="shared" si="12"/>
        <v>36.66373669303644</v>
      </c>
      <c r="H108" s="61">
        <f aca="true" t="shared" si="16" ref="H108:H149">B108-D108</f>
        <v>1341.6999999999998</v>
      </c>
      <c r="I108" s="61">
        <f t="shared" si="14"/>
        <v>2593.9999999999995</v>
      </c>
    </row>
    <row r="109" spans="1:9" ht="17.25">
      <c r="A109" s="23" t="s">
        <v>26</v>
      </c>
      <c r="B109" s="74">
        <v>1714.3</v>
      </c>
      <c r="C109" s="44">
        <v>2633.8</v>
      </c>
      <c r="D109" s="75">
        <f>68.3+138.7+47.8+60.9+18.1+30+81.4+40.6+14.7+2.7+31.2+33.2+49.1+0.8+32</f>
        <v>649.5000000000001</v>
      </c>
      <c r="E109" s="1">
        <f>D109/D108*100</f>
        <v>43.253862546616936</v>
      </c>
      <c r="F109" s="1">
        <f t="shared" si="15"/>
        <v>37.8871842734644</v>
      </c>
      <c r="G109" s="1">
        <f t="shared" si="12"/>
        <v>24.660186802338828</v>
      </c>
      <c r="H109" s="44">
        <f t="shared" si="16"/>
        <v>1064.7999999999997</v>
      </c>
      <c r="I109" s="44">
        <f t="shared" si="14"/>
        <v>1984.3000000000002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</f>
        <v>319</v>
      </c>
      <c r="E110" s="6">
        <f>D110/D107*100</f>
        <v>0.09287924795177965</v>
      </c>
      <c r="F110" s="6">
        <f>D110/B110*100</f>
        <v>32.09901388609378</v>
      </c>
      <c r="G110" s="6">
        <f t="shared" si="12"/>
        <v>27.13969712438319</v>
      </c>
      <c r="H110" s="61">
        <f t="shared" si="16"/>
        <v>674.8</v>
      </c>
      <c r="I110" s="61">
        <f t="shared" si="14"/>
        <v>856.4000000000001</v>
      </c>
    </row>
    <row r="111" spans="1:9" s="37" customFormat="1" ht="34.5" customHeight="1">
      <c r="A111" s="16" t="s">
        <v>98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7.25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7.25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0.00888030427125166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4.5">
      <c r="A114" s="16" t="s">
        <v>39</v>
      </c>
      <c r="B114" s="73">
        <v>2250.5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136.4+40+10+2+0.1+10.6+142+54.3+10.6+6.6+21.9+41.3+8.2+239.5+0.2+6.2+0.7+26.9+145.7+54.9+4+2+1.1+3.5+2.2+195.9+3.8+0.4+0.2+181.5+10+1.7+7.3+203.7+0.1+6.2+185.1+14.5+72+29.1+0.3</f>
        <v>1882.7</v>
      </c>
      <c r="E114" s="6">
        <f>D114/D107*100</f>
        <v>0.5481622574257541</v>
      </c>
      <c r="F114" s="6">
        <f t="shared" si="15"/>
        <v>83.65696511886249</v>
      </c>
      <c r="G114" s="6">
        <f t="shared" si="12"/>
        <v>62.767127854642446</v>
      </c>
      <c r="H114" s="61">
        <f t="shared" si="16"/>
        <v>367.79999999999995</v>
      </c>
      <c r="I114" s="61">
        <f t="shared" si="14"/>
        <v>1116.8</v>
      </c>
    </row>
    <row r="115" spans="1:9" ht="17.25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4.5">
      <c r="A117" s="16" t="s">
        <v>48</v>
      </c>
      <c r="B117" s="73">
        <v>169</v>
      </c>
      <c r="C117" s="61">
        <f>99+100</f>
        <v>199</v>
      </c>
      <c r="D117" s="72">
        <f>18</f>
        <v>18</v>
      </c>
      <c r="E117" s="6">
        <f>D117/D107*100</f>
        <v>0.005240835307623931</v>
      </c>
      <c r="F117" s="6">
        <f>D117/B117*100</f>
        <v>10.650887573964498</v>
      </c>
      <c r="G117" s="6">
        <f t="shared" si="12"/>
        <v>9.045226130653267</v>
      </c>
      <c r="H117" s="61">
        <f t="shared" si="16"/>
        <v>151</v>
      </c>
      <c r="I117" s="61">
        <f t="shared" si="14"/>
        <v>181</v>
      </c>
    </row>
    <row r="118" spans="1:9" s="2" customFormat="1" ht="17.25">
      <c r="A118" s="16" t="s">
        <v>15</v>
      </c>
      <c r="B118" s="73">
        <v>289.6</v>
      </c>
      <c r="C118" s="53">
        <v>422.8</v>
      </c>
      <c r="D118" s="72">
        <f>39+5+6.2+39.1+4.9+0.4+0.8+39+0.1+5.5+0.9+39+4.8+1.3+39-0.1+0.8+0.4+5+0.8+5.1+0.2+0.4+2.2+3.5+39+0.4+3</f>
        <v>285.70000000000005</v>
      </c>
      <c r="E118" s="6">
        <f>D118/D107*100</f>
        <v>0.0831837026326754</v>
      </c>
      <c r="F118" s="6">
        <f t="shared" si="15"/>
        <v>98.65331491712708</v>
      </c>
      <c r="G118" s="6">
        <f t="shared" si="12"/>
        <v>67.5733207190161</v>
      </c>
      <c r="H118" s="61">
        <f t="shared" si="16"/>
        <v>3.8999999999999773</v>
      </c>
      <c r="I118" s="61">
        <f t="shared" si="14"/>
        <v>137.09999999999997</v>
      </c>
    </row>
    <row r="119" spans="1:9" s="32" customFormat="1" ht="17.25">
      <c r="A119" s="33" t="s">
        <v>44</v>
      </c>
      <c r="B119" s="74">
        <v>234.2</v>
      </c>
      <c r="C119" s="44">
        <v>351.4</v>
      </c>
      <c r="D119" s="75">
        <f>39+39.1+39+39.1+39+39</f>
        <v>234.2</v>
      </c>
      <c r="E119" s="1">
        <f>D119/D118*100</f>
        <v>81.97409870493523</v>
      </c>
      <c r="F119" s="1">
        <f t="shared" si="15"/>
        <v>100</v>
      </c>
      <c r="G119" s="1">
        <f t="shared" si="12"/>
        <v>66.64769493454753</v>
      </c>
      <c r="H119" s="44">
        <f t="shared" si="16"/>
        <v>0</v>
      </c>
      <c r="I119" s="44">
        <f t="shared" si="14"/>
        <v>117.19999999999999</v>
      </c>
    </row>
    <row r="120" spans="1:9" s="2" customFormat="1" ht="17.2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160</v>
      </c>
      <c r="C121" s="53">
        <v>520</v>
      </c>
      <c r="D121" s="76">
        <f>49.4+11+30.6+15.4</f>
        <v>106.4</v>
      </c>
      <c r="E121" s="17">
        <f>D121/D107*100</f>
        <v>0.030979159818399233</v>
      </c>
      <c r="F121" s="6">
        <f t="shared" si="15"/>
        <v>66.5</v>
      </c>
      <c r="G121" s="6">
        <f t="shared" si="12"/>
        <v>20.46153846153846</v>
      </c>
      <c r="H121" s="61">
        <f t="shared" si="16"/>
        <v>53.599999999999994</v>
      </c>
      <c r="I121" s="61">
        <f t="shared" si="14"/>
        <v>413.6</v>
      </c>
    </row>
    <row r="122" spans="1:9" s="102" customFormat="1" ht="17.25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7.25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4.5">
      <c r="A124" s="16" t="s">
        <v>100</v>
      </c>
      <c r="B124" s="73">
        <v>29416.9</v>
      </c>
      <c r="C124" s="53">
        <f>33585.8+9933.2-1212.8-350-61.4</f>
        <v>41894.799999999996</v>
      </c>
      <c r="D124" s="76">
        <f>3483.8+2635.6+1853.3+812.9+1333.3+1694.1+1722.4+661.9+934+1328+225+1781.5+1097.2+0.1+1902.6+1343+1822.5+1392+1771.1</f>
        <v>27794.299999999996</v>
      </c>
      <c r="E124" s="17">
        <f>D124/D107*100</f>
        <v>8.092519377260654</v>
      </c>
      <c r="F124" s="6">
        <f t="shared" si="15"/>
        <v>94.48412307211159</v>
      </c>
      <c r="G124" s="6">
        <f t="shared" si="12"/>
        <v>66.34307837726877</v>
      </c>
      <c r="H124" s="61">
        <f t="shared" si="16"/>
        <v>1622.6000000000058</v>
      </c>
      <c r="I124" s="61">
        <f t="shared" si="14"/>
        <v>14100.5</v>
      </c>
    </row>
    <row r="125" spans="1:9" s="2" customFormat="1" ht="17.25">
      <c r="A125" s="16" t="s">
        <v>95</v>
      </c>
      <c r="B125" s="73">
        <v>695</v>
      </c>
      <c r="C125" s="53">
        <f>585+110</f>
        <v>695</v>
      </c>
      <c r="D125" s="76">
        <f>10+6+64.3</f>
        <v>80.3</v>
      </c>
      <c r="E125" s="17">
        <f>D125/D107*100</f>
        <v>0.02337994862234453</v>
      </c>
      <c r="F125" s="6">
        <f t="shared" si="15"/>
        <v>11.553956834532373</v>
      </c>
      <c r="G125" s="6">
        <f t="shared" si="12"/>
        <v>11.553956834532373</v>
      </c>
      <c r="H125" s="61">
        <f t="shared" si="16"/>
        <v>614.7</v>
      </c>
      <c r="I125" s="61">
        <f t="shared" si="14"/>
        <v>614.7</v>
      </c>
    </row>
    <row r="126" spans="1:12" s="2" customFormat="1" ht="34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4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0.005735803086677301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4.5">
      <c r="A128" s="16" t="s">
        <v>58</v>
      </c>
      <c r="B128" s="73">
        <v>1079.5</v>
      </c>
      <c r="C128" s="53">
        <v>1253.3</v>
      </c>
      <c r="D128" s="76">
        <f>6.5+6.7+0.9+10.2+6.4+2.4+29+2.5+26.7+1.1+7.5+20.9+3.3+0.1+0.6+54.3+6.4+19+6.4-0.2+0.9+1+0.1+24+11.8+60.3+1.8+4+2+10.5+0.5+0.1+1.1+56.8+0.1-0.1+8.7+10.4+6.4+43.4</f>
        <v>454.5</v>
      </c>
      <c r="E128" s="17">
        <f>D128/D107*100</f>
        <v>0.13233109151750425</v>
      </c>
      <c r="F128" s="6">
        <f t="shared" si="15"/>
        <v>42.10282538212135</v>
      </c>
      <c r="G128" s="6">
        <f t="shared" si="12"/>
        <v>36.26426234740286</v>
      </c>
      <c r="H128" s="61">
        <f t="shared" si="16"/>
        <v>625</v>
      </c>
      <c r="I128" s="61">
        <f t="shared" si="14"/>
        <v>798.8</v>
      </c>
    </row>
    <row r="129" spans="1:9" s="32" customFormat="1" ht="17.25">
      <c r="A129" s="23" t="s">
        <v>89</v>
      </c>
      <c r="B129" s="74">
        <v>334.5</v>
      </c>
      <c r="C129" s="44">
        <v>459.6</v>
      </c>
      <c r="D129" s="75">
        <f>6.4+6.4+6.4+6.4+6.4+24+6.4+56.8+6.4+6.4</f>
        <v>132</v>
      </c>
      <c r="E129" s="1">
        <f>D129/D128*100</f>
        <v>29.042904290429046</v>
      </c>
      <c r="F129" s="1">
        <f>D129/B129*100</f>
        <v>39.46188340807175</v>
      </c>
      <c r="G129" s="1">
        <f t="shared" si="12"/>
        <v>28.720626631853786</v>
      </c>
      <c r="H129" s="44">
        <f t="shared" si="16"/>
        <v>202.5</v>
      </c>
      <c r="I129" s="44">
        <f t="shared" si="14"/>
        <v>327.6</v>
      </c>
    </row>
    <row r="130" spans="1:9" s="2" customFormat="1" ht="34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7.25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0.2696700923289603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v>81.1</v>
      </c>
      <c r="C134" s="53">
        <v>108.1</v>
      </c>
      <c r="D134" s="76">
        <f>3.8+10.3+1.3+2-0.1+1.7</f>
        <v>19</v>
      </c>
      <c r="E134" s="17">
        <f>D134/D107*100</f>
        <v>0.005531992824714149</v>
      </c>
      <c r="F134" s="6">
        <f t="shared" si="15"/>
        <v>23.427866831072752</v>
      </c>
      <c r="G134" s="6">
        <f t="shared" si="12"/>
        <v>17.576318223866792</v>
      </c>
      <c r="H134" s="61">
        <f t="shared" si="16"/>
        <v>62.099999999999994</v>
      </c>
      <c r="I134" s="61">
        <f t="shared" si="14"/>
        <v>89.1</v>
      </c>
    </row>
    <row r="135" spans="1:9" s="2" customFormat="1" ht="39" customHeight="1">
      <c r="A135" s="16" t="s">
        <v>55</v>
      </c>
      <c r="B135" s="73">
        <v>430</v>
      </c>
      <c r="C135" s="53">
        <v>626.8</v>
      </c>
      <c r="D135" s="76">
        <f>1.2+14.1+4+6.1</f>
        <v>25.4</v>
      </c>
      <c r="E135" s="17">
        <f>D135/D107*100</f>
        <v>0.007395400934091545</v>
      </c>
      <c r="F135" s="6">
        <f t="shared" si="15"/>
        <v>5.906976744186046</v>
      </c>
      <c r="G135" s="6">
        <f t="shared" si="12"/>
        <v>4.052329291640076</v>
      </c>
      <c r="H135" s="61">
        <f t="shared" si="16"/>
        <v>404.6</v>
      </c>
      <c r="I135" s="61">
        <f t="shared" si="14"/>
        <v>601.4</v>
      </c>
    </row>
    <row r="136" spans="1:9" s="32" customFormat="1" ht="17.25">
      <c r="A136" s="23" t="s">
        <v>89</v>
      </c>
      <c r="B136" s="74">
        <v>270</v>
      </c>
      <c r="C136" s="44">
        <v>400</v>
      </c>
      <c r="D136" s="75">
        <f>1.2+4+6.1</f>
        <v>11.3</v>
      </c>
      <c r="E136" s="1"/>
      <c r="F136" s="6">
        <f>D136/B136*100</f>
        <v>4.185185185185185</v>
      </c>
      <c r="G136" s="1">
        <f>D136/C136*100</f>
        <v>2.825</v>
      </c>
      <c r="H136" s="44">
        <f>B136-D136</f>
        <v>258.7</v>
      </c>
      <c r="I136" s="44">
        <f>C136-D136</f>
        <v>388.7</v>
      </c>
    </row>
    <row r="137" spans="1:9" s="2" customFormat="1" ht="34.5">
      <c r="A137" s="16" t="s">
        <v>85</v>
      </c>
      <c r="B137" s="73">
        <v>291.4</v>
      </c>
      <c r="C137" s="53">
        <v>381.2</v>
      </c>
      <c r="D137" s="76">
        <f>0.5+1.3+15.9+33.5+3+0.6+15.2+1.3+36.5+1.9+0.3+0.3+0.6+5+2+16.5+0.1+0.5+1.2+18.6-0.1+0.3+0.5+0.5+16+2+17.3+2.1+0.4+0.7+25.9+2.2+17.9</f>
        <v>240.49999999999997</v>
      </c>
      <c r="E137" s="17">
        <f>D137/D107*100</f>
        <v>0.0700233828601975</v>
      </c>
      <c r="F137" s="6">
        <f>D137/B137*100</f>
        <v>82.53260123541524</v>
      </c>
      <c r="G137" s="6">
        <f>D137/C137*100</f>
        <v>63.09024134312696</v>
      </c>
      <c r="H137" s="61">
        <f t="shared" si="16"/>
        <v>50.900000000000006</v>
      </c>
      <c r="I137" s="61">
        <f t="shared" si="14"/>
        <v>140.70000000000002</v>
      </c>
    </row>
    <row r="138" spans="1:9" s="32" customFormat="1" ht="17.25">
      <c r="A138" s="23" t="s">
        <v>26</v>
      </c>
      <c r="B138" s="74">
        <v>234.6</v>
      </c>
      <c r="C138" s="44">
        <v>306.1</v>
      </c>
      <c r="D138" s="75">
        <f>15.9+33.5+15.2+36.5+0.3+4.6+16.5-0.1+1.2+16+0.3+16+0.1+16.2+0.3+25.4+16.9</f>
        <v>214.8</v>
      </c>
      <c r="E138" s="1">
        <f>D138/D137*100</f>
        <v>89.31392931392934</v>
      </c>
      <c r="F138" s="1">
        <f t="shared" si="15"/>
        <v>91.5601023017903</v>
      </c>
      <c r="G138" s="1">
        <f>D138/C138*100</f>
        <v>70.17314603070892</v>
      </c>
      <c r="H138" s="44">
        <f t="shared" si="16"/>
        <v>19.799999999999983</v>
      </c>
      <c r="I138" s="44">
        <f t="shared" si="14"/>
        <v>91.30000000000001</v>
      </c>
    </row>
    <row r="139" spans="1:9" s="2" customFormat="1" ht="17.25">
      <c r="A139" s="16" t="s">
        <v>101</v>
      </c>
      <c r="B139" s="73">
        <v>1170.1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26+59.9+0.4-0.1+0.1+27.3+5.8+57.7+6.3+46.3+13.6+50.5+6-0.1+43.3+3.1+0.2+52.2+16.7+42.4+4.7+8+55+5.3+39.2+0.5+5+82.1+95.1+0.2+73.5+79.4+74.3-0.2+13.8+17.8+27+18+79.9</f>
        <v>1136.1999999999998</v>
      </c>
      <c r="E139" s="17">
        <f>D139/D107*100</f>
        <v>0.330813170917906</v>
      </c>
      <c r="F139" s="6">
        <f t="shared" si="15"/>
        <v>97.10281172549354</v>
      </c>
      <c r="G139" s="6">
        <f t="shared" si="12"/>
        <v>75.11569483009386</v>
      </c>
      <c r="H139" s="61">
        <f t="shared" si="16"/>
        <v>33.90000000000009</v>
      </c>
      <c r="I139" s="61">
        <f t="shared" si="14"/>
        <v>376.4000000000003</v>
      </c>
    </row>
    <row r="140" spans="1:9" s="32" customFormat="1" ht="17.25">
      <c r="A140" s="33" t="s">
        <v>44</v>
      </c>
      <c r="B140" s="74">
        <v>915</v>
      </c>
      <c r="C140" s="44">
        <f>1063.5+115.2</f>
        <v>1178.7</v>
      </c>
      <c r="D140" s="75">
        <f>26+59.9+27.3+57.1-0.1+46.3+42.7-0.1+36.4+51.8+8.5+28+53.1+4.3+35.3+82.1+45.8+73.5+42.3+73.9-0.1+13.8+27+76</f>
        <v>910.7999999999998</v>
      </c>
      <c r="E140" s="1">
        <f>D140/D139*100</f>
        <v>80.16194331983806</v>
      </c>
      <c r="F140" s="1">
        <f aca="true" t="shared" si="17" ref="F140:F148">D140/B140*100</f>
        <v>99.54098360655736</v>
      </c>
      <c r="G140" s="1">
        <f t="shared" si="12"/>
        <v>77.27157037414099</v>
      </c>
      <c r="H140" s="44">
        <f t="shared" si="16"/>
        <v>4.200000000000159</v>
      </c>
      <c r="I140" s="44">
        <f t="shared" si="14"/>
        <v>267.9000000000002</v>
      </c>
    </row>
    <row r="141" spans="1:9" s="32" customFormat="1" ht="17.25">
      <c r="A141" s="23" t="s">
        <v>26</v>
      </c>
      <c r="B141" s="74">
        <v>25.1</v>
      </c>
      <c r="C141" s="44">
        <v>37.5</v>
      </c>
      <c r="D141" s="75">
        <f>0.4+5.6+0.6+6+0.1+3.7+0.1+0.4+1+0.3+0.3+0.3+0.2-0.1+0.3</f>
        <v>19.2</v>
      </c>
      <c r="E141" s="1">
        <f>D141/D139*100</f>
        <v>1.6898433374405917</v>
      </c>
      <c r="F141" s="1">
        <f t="shared" si="17"/>
        <v>76.49402390438246</v>
      </c>
      <c r="G141" s="1">
        <f>D141/C141*100</f>
        <v>51.2</v>
      </c>
      <c r="H141" s="44">
        <f t="shared" si="16"/>
        <v>5.900000000000002</v>
      </c>
      <c r="I141" s="44">
        <f t="shared" si="14"/>
        <v>18.3</v>
      </c>
    </row>
    <row r="142" spans="1:9" s="2" customFormat="1" ht="18.75" customHeight="1">
      <c r="A142" s="18" t="s">
        <v>57</v>
      </c>
      <c r="B142" s="73">
        <v>1851.9</v>
      </c>
      <c r="C142" s="53">
        <f>200+300+1250+175</f>
        <v>1925</v>
      </c>
      <c r="D142" s="76">
        <f>300+200+174</f>
        <v>674</v>
      </c>
      <c r="E142" s="17">
        <f>D142/D107*100</f>
        <v>0.19624016651880716</v>
      </c>
      <c r="F142" s="99">
        <f t="shared" si="17"/>
        <v>36.39505372860305</v>
      </c>
      <c r="G142" s="6">
        <f t="shared" si="12"/>
        <v>35.01298701298701</v>
      </c>
      <c r="H142" s="61">
        <f t="shared" si="16"/>
        <v>1177.9</v>
      </c>
      <c r="I142" s="61">
        <f t="shared" si="14"/>
        <v>1251</v>
      </c>
    </row>
    <row r="143" spans="1:9" s="2" customFormat="1" ht="17.2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7.25">
      <c r="A144" s="18" t="s">
        <v>102</v>
      </c>
      <c r="B144" s="73">
        <v>34416.2</v>
      </c>
      <c r="C144" s="53">
        <f>67967+150-2500-1878-220-5896.7+475</f>
        <v>58097.3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</f>
        <v>32330.999999999993</v>
      </c>
      <c r="E144" s="17">
        <f>D144/D107*100</f>
        <v>9.413413685043848</v>
      </c>
      <c r="F144" s="99">
        <f t="shared" si="17"/>
        <v>93.94122535317669</v>
      </c>
      <c r="G144" s="6">
        <f t="shared" si="12"/>
        <v>55.6497462016307</v>
      </c>
      <c r="H144" s="61">
        <f t="shared" si="16"/>
        <v>2085.2000000000044</v>
      </c>
      <c r="I144" s="61">
        <f t="shared" si="14"/>
        <v>25766.30000000001</v>
      </c>
      <c r="J144" s="131"/>
    </row>
    <row r="145" spans="1:9" s="2" customFormat="1" ht="17.2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7.25">
      <c r="A146" s="16" t="s">
        <v>103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0.03854925526274491</v>
      </c>
      <c r="F146" s="99">
        <f t="shared" si="17"/>
        <v>72.7073036792971</v>
      </c>
      <c r="G146" s="6">
        <f t="shared" si="12"/>
        <v>56.58119658119658</v>
      </c>
      <c r="H146" s="61">
        <f t="shared" si="16"/>
        <v>49.69999999999999</v>
      </c>
      <c r="I146" s="61">
        <f t="shared" si="14"/>
        <v>101.6</v>
      </c>
    </row>
    <row r="147" spans="1:12" s="2" customFormat="1" ht="18.75" customHeight="1">
      <c r="A147" s="16" t="s">
        <v>78</v>
      </c>
      <c r="B147" s="73">
        <f>8262.7+82.1</f>
        <v>8344.800000000001</v>
      </c>
      <c r="C147" s="53">
        <v>10550.8</v>
      </c>
      <c r="D147" s="76">
        <f>1601.8+39.7+92.5+565.2+121.3+853.6+638.8+424+800.9+24.5+1.5+318.7+33.7+748.2+470.6+626.9+12.3+30.7-0.1</f>
        <v>7404.799999999998</v>
      </c>
      <c r="E147" s="17">
        <f>D147/D107*100</f>
        <v>2.155963182549648</v>
      </c>
      <c r="F147" s="99">
        <f t="shared" si="17"/>
        <v>88.73549995206592</v>
      </c>
      <c r="G147" s="6">
        <f t="shared" si="12"/>
        <v>70.18235584031541</v>
      </c>
      <c r="H147" s="61">
        <f t="shared" si="16"/>
        <v>940.0000000000027</v>
      </c>
      <c r="I147" s="61">
        <f t="shared" si="14"/>
        <v>3146.000000000001</v>
      </c>
      <c r="K147" s="38"/>
      <c r="L147" s="38"/>
    </row>
    <row r="148" spans="1:12" s="2" customFormat="1" ht="19.5" customHeight="1">
      <c r="A148" s="16" t="s">
        <v>51</v>
      </c>
      <c r="B148" s="73">
        <f>241378.8+6381+337</f>
        <v>248096.8</v>
      </c>
      <c r="C148" s="53">
        <f>376354.8-1000+14285.9-198-200-300-15786.4-2950-2519.8+7938.3-13756.7+0.7+204.9</f>
        <v>362073.7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+450.3</f>
        <v>246779.7</v>
      </c>
      <c r="E148" s="17">
        <f>D148/D107*100</f>
        <v>71.85176472026896</v>
      </c>
      <c r="F148" s="6">
        <f t="shared" si="17"/>
        <v>99.4691185053576</v>
      </c>
      <c r="G148" s="6">
        <f t="shared" si="12"/>
        <v>68.15731161915379</v>
      </c>
      <c r="H148" s="61">
        <f t="shared" si="16"/>
        <v>1317.0999999999767</v>
      </c>
      <c r="I148" s="61">
        <f t="shared" si="14"/>
        <v>115294</v>
      </c>
      <c r="K148" s="91"/>
      <c r="L148" s="38"/>
    </row>
    <row r="149" spans="1:12" s="2" customFormat="1" ht="17.25">
      <c r="A149" s="16" t="s">
        <v>104</v>
      </c>
      <c r="B149" s="73">
        <v>22113.9</v>
      </c>
      <c r="C149" s="53">
        <v>29485.2</v>
      </c>
      <c r="D149" s="76">
        <f>819+819+819.1+819+819+819.1+819+819+819.1+819+819+819.1+819.1+819+819+819+819.1+819+819+819+819.1+819+819+819.1+819+819</f>
        <v>21294.8</v>
      </c>
      <c r="E149" s="17">
        <f>D149/D107*100</f>
        <v>6.200141094932782</v>
      </c>
      <c r="F149" s="6">
        <f t="shared" si="15"/>
        <v>96.29599482678314</v>
      </c>
      <c r="G149" s="6">
        <f t="shared" si="12"/>
        <v>72.22199612008737</v>
      </c>
      <c r="H149" s="61">
        <f t="shared" si="16"/>
        <v>819.1000000000022</v>
      </c>
      <c r="I149" s="61">
        <f t="shared" si="14"/>
        <v>8190.4000000000015</v>
      </c>
      <c r="K149" s="38"/>
      <c r="L149" s="38"/>
    </row>
    <row r="150" spans="1:12" s="2" customFormat="1" ht="18" thickBot="1">
      <c r="A150" s="34" t="s">
        <v>30</v>
      </c>
      <c r="B150" s="77">
        <f>B43+B69+B72+B77+B79+B87+B102+B107+B100+B84+B98</f>
        <v>369216.9000000001</v>
      </c>
      <c r="C150" s="77">
        <f>C43+C69+C72+C77+C79+C87+C102+C107+C100+C84+C98</f>
        <v>536128.4</v>
      </c>
      <c r="D150" s="53">
        <f>D43+D69+D72+D77+D79+D87+D102+D107+D100+D84+D98</f>
        <v>351865.3</v>
      </c>
      <c r="E150" s="17"/>
      <c r="F150" s="17"/>
      <c r="G150" s="6"/>
      <c r="H150" s="61"/>
      <c r="I150" s="53"/>
      <c r="K150" s="38"/>
      <c r="L150" s="38"/>
    </row>
    <row r="151" spans="1:12" ht="18" thickBot="1">
      <c r="A151" s="13" t="s">
        <v>18</v>
      </c>
      <c r="B151" s="47">
        <f>B6+B18+B33+B43+B51+B59+B69+B72+B77+B79+B87+B90+B95+B102+B107+B100+B84+B98+B45</f>
        <v>1383132.9000000001</v>
      </c>
      <c r="C151" s="47">
        <f>C6+C18+C33+C43+C51+C59+C69+C72+C77+C79+C87+C90+C95+C102+C107+C100+C84+C98+C45</f>
        <v>1875370.4999999995</v>
      </c>
      <c r="D151" s="47">
        <f>D6+D18+D33+D43+D51+D59+D69+D72+D77+D79+D87+D90+D95+D102+D107+D100+D84+D98+D45</f>
        <v>1235797.6000000003</v>
      </c>
      <c r="E151" s="31">
        <v>100</v>
      </c>
      <c r="F151" s="3">
        <f>D151/B151*100</f>
        <v>89.3477119949934</v>
      </c>
      <c r="G151" s="3">
        <f aca="true" t="shared" si="18" ref="G151:G157">D151/C151*100</f>
        <v>65.89618424732609</v>
      </c>
      <c r="H151" s="47">
        <f aca="true" t="shared" si="19" ref="H151:H157">B151-D151</f>
        <v>147335.2999999998</v>
      </c>
      <c r="I151" s="47">
        <f aca="true" t="shared" si="20" ref="I151:I157">C151-D151</f>
        <v>639572.8999999992</v>
      </c>
      <c r="K151" s="39"/>
      <c r="L151" s="40"/>
    </row>
    <row r="152" spans="1:12" ht="17.25">
      <c r="A152" s="18" t="s">
        <v>5</v>
      </c>
      <c r="B152" s="60">
        <f>B8+B20+B34+B52+B60+B91+B115+B119+B46+B140+B131+B103</f>
        <v>552611.1</v>
      </c>
      <c r="C152" s="60">
        <f>C8+C20+C34+C52+C60+C91+C115+C119+C46+C140+C131+C103</f>
        <v>737272.2999999999</v>
      </c>
      <c r="D152" s="60">
        <f>D8+D20+D34+D52+D60+D91+D115+D119+D46+D140+D131+D103</f>
        <v>476746.29999999993</v>
      </c>
      <c r="E152" s="6">
        <f>D152/D151*100</f>
        <v>38.578024427301024</v>
      </c>
      <c r="F152" s="6">
        <f aca="true" t="shared" si="21" ref="F152:F157">D152/B152*100</f>
        <v>86.27157507332008</v>
      </c>
      <c r="G152" s="6">
        <f t="shared" si="18"/>
        <v>64.6635306927983</v>
      </c>
      <c r="H152" s="61">
        <f t="shared" si="19"/>
        <v>75864.80000000005</v>
      </c>
      <c r="I152" s="72">
        <f t="shared" si="20"/>
        <v>260526</v>
      </c>
      <c r="K152" s="39"/>
      <c r="L152" s="40"/>
    </row>
    <row r="153" spans="1:12" ht="17.25">
      <c r="A153" s="18" t="s">
        <v>0</v>
      </c>
      <c r="B153" s="61">
        <f>B11+B23+B36+B55+B62+B92+B49+B141+B109+B112+B96+B138</f>
        <v>68634.5</v>
      </c>
      <c r="C153" s="61">
        <f>C11+C23+C36+C55+C62+C92+C49+C141+C109+C112+C96+C138</f>
        <v>102533.8</v>
      </c>
      <c r="D153" s="61">
        <f>D11+D23+D36+D55+D62+D92+D49+D141+D109+D112+D96+D138</f>
        <v>58622.8</v>
      </c>
      <c r="E153" s="6">
        <f>D153/D151*100</f>
        <v>4.743721787451277</v>
      </c>
      <c r="F153" s="6">
        <f t="shared" si="21"/>
        <v>85.41302114825635</v>
      </c>
      <c r="G153" s="6">
        <f t="shared" si="18"/>
        <v>57.174122094372784</v>
      </c>
      <c r="H153" s="61">
        <f t="shared" si="19"/>
        <v>10011.699999999997</v>
      </c>
      <c r="I153" s="72">
        <f t="shared" si="20"/>
        <v>43911</v>
      </c>
      <c r="K153" s="39"/>
      <c r="L153" s="90"/>
    </row>
    <row r="154" spans="1:12" ht="17.25">
      <c r="A154" s="18" t="s">
        <v>1</v>
      </c>
      <c r="B154" s="60">
        <f>B22+B10+B54+B48+B61+B35+B123</f>
        <v>23041.300000000003</v>
      </c>
      <c r="C154" s="60">
        <f>C22+C10+C54+C48+C61+C35+C123</f>
        <v>28689.7</v>
      </c>
      <c r="D154" s="60">
        <f>D22+D10+D54+D48+D61+D35+D123</f>
        <v>21890.499999999993</v>
      </c>
      <c r="E154" s="6">
        <f>D154/D151*100</f>
        <v>1.771366120147829</v>
      </c>
      <c r="F154" s="6">
        <f t="shared" si="21"/>
        <v>95.00549014161524</v>
      </c>
      <c r="G154" s="6">
        <f t="shared" si="18"/>
        <v>76.30090241445532</v>
      </c>
      <c r="H154" s="61">
        <f t="shared" si="19"/>
        <v>1150.8000000000102</v>
      </c>
      <c r="I154" s="72">
        <f t="shared" si="20"/>
        <v>6799.200000000008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19028</v>
      </c>
      <c r="C155" s="60">
        <f>C12+C24+C104+C63+C38+C93+C129+C56+C136</f>
        <v>26130.600000000002</v>
      </c>
      <c r="D155" s="60">
        <f>D12+D24+D104+D63+D38+D93+D129+D56+D136</f>
        <v>15412.599999999995</v>
      </c>
      <c r="E155" s="6">
        <f>D155/D151*100</f>
        <v>1.2471783405308434</v>
      </c>
      <c r="F155" s="6">
        <f t="shared" si="21"/>
        <v>80.99957956695394</v>
      </c>
      <c r="G155" s="6">
        <f t="shared" si="18"/>
        <v>58.98295484986947</v>
      </c>
      <c r="H155" s="61">
        <f>B155-D155</f>
        <v>3615.400000000005</v>
      </c>
      <c r="I155" s="72">
        <f t="shared" si="20"/>
        <v>10718.000000000007</v>
      </c>
      <c r="K155" s="39"/>
      <c r="L155" s="90"/>
    </row>
    <row r="156" spans="1:12" ht="17.25">
      <c r="A156" s="18" t="s">
        <v>2</v>
      </c>
      <c r="B156" s="60">
        <f>B9+B21+B47+B53+B122</f>
        <v>85.7</v>
      </c>
      <c r="C156" s="60">
        <f>C9+C21+C47+C53+C122</f>
        <v>106.9</v>
      </c>
      <c r="D156" s="60">
        <f>D9+D21+D47+D53+D122</f>
        <v>32.7</v>
      </c>
      <c r="E156" s="6">
        <f>D156/D151*100</f>
        <v>0.0026460643717061754</v>
      </c>
      <c r="F156" s="6">
        <f t="shared" si="21"/>
        <v>38.15635939323221</v>
      </c>
      <c r="G156" s="6">
        <f t="shared" si="18"/>
        <v>30.589335827876525</v>
      </c>
      <c r="H156" s="61">
        <f t="shared" si="19"/>
        <v>53</v>
      </c>
      <c r="I156" s="72">
        <f t="shared" si="20"/>
        <v>74.2</v>
      </c>
      <c r="K156" s="39"/>
      <c r="L156" s="40"/>
    </row>
    <row r="157" spans="1:12" ht="18" thickBot="1">
      <c r="A157" s="125" t="s">
        <v>28</v>
      </c>
      <c r="B157" s="78">
        <f>B151-B152-B153-B154-B155-B156</f>
        <v>719732.3000000002</v>
      </c>
      <c r="C157" s="78">
        <f>C151-C152-C153-C154-C155-C156</f>
        <v>980637.1999999997</v>
      </c>
      <c r="D157" s="78">
        <f>D151-D152-D153-D154-D155-D156</f>
        <v>663092.7000000004</v>
      </c>
      <c r="E157" s="36">
        <f>D157/D151*100</f>
        <v>53.657063260197326</v>
      </c>
      <c r="F157" s="36">
        <f t="shared" si="21"/>
        <v>92.13046295129456</v>
      </c>
      <c r="G157" s="36">
        <f t="shared" si="18"/>
        <v>67.61855454800212</v>
      </c>
      <c r="H157" s="126">
        <f t="shared" si="19"/>
        <v>56639.599999999744</v>
      </c>
      <c r="I157" s="126">
        <f t="shared" si="20"/>
        <v>317544.4999999993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1235797.6000000003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1235797.6000000003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2017-09-08T13:21:40Z</cp:lastPrinted>
  <dcterms:created xsi:type="dcterms:W3CDTF">2000-06-20T04:48:00Z</dcterms:created>
  <dcterms:modified xsi:type="dcterms:W3CDTF">2017-09-26T11:40:33Z</dcterms:modified>
  <cp:category/>
  <cp:version/>
  <cp:contentType/>
  <cp:contentStatus/>
</cp:coreProperties>
</file>